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tabRatio="794" activeTab="0"/>
  </bookViews>
  <sheets>
    <sheet name="Mecha Design" sheetId="1" r:id="rId1"/>
    <sheet name="Data" sheetId="2" r:id="rId2"/>
    <sheet name="Weapons" sheetId="3" r:id="rId3"/>
    <sheet name="Weapon Data" sheetId="4" r:id="rId4"/>
    <sheet name="Weapon Creator" sheetId="5" r:id="rId5"/>
    <sheet name="Play Sheet" sheetId="6" r:id="rId6"/>
  </sheets>
  <definedNames/>
  <calcPr fullCalcOnLoad="1"/>
</workbook>
</file>

<file path=xl/sharedStrings.xml><?xml version="1.0" encoding="utf-8"?>
<sst xmlns="http://schemas.openxmlformats.org/spreadsheetml/2006/main" count="1287" uniqueCount="675">
  <si>
    <t>CP:</t>
  </si>
  <si>
    <t>Weight:</t>
  </si>
  <si>
    <t>Balance Mods</t>
  </si>
  <si>
    <t>Configuration</t>
  </si>
  <si>
    <t>MV</t>
  </si>
  <si>
    <t>MR</t>
  </si>
  <si>
    <t>Land MA</t>
  </si>
  <si>
    <t>Flight MA</t>
  </si>
  <si>
    <t>BMA</t>
  </si>
  <si>
    <t>Command Armor</t>
  </si>
  <si>
    <t>Mecha Name:</t>
  </si>
  <si>
    <t>Booster Packs</t>
  </si>
  <si>
    <t>Drop Tanks</t>
  </si>
  <si>
    <t>Cost:</t>
  </si>
  <si>
    <t>Total B-Mod:</t>
  </si>
  <si>
    <t>Base Figures</t>
  </si>
  <si>
    <t>Base Weight</t>
  </si>
  <si>
    <t>Fuel Weight</t>
  </si>
  <si>
    <t>FRAME CP:</t>
  </si>
  <si>
    <t>BASIC MECHA FRAME</t>
  </si>
  <si>
    <t>FRAME WEIGHT:</t>
  </si>
  <si>
    <t>New Weight</t>
  </si>
  <si>
    <t>Base Cost</t>
  </si>
  <si>
    <t>Servos</t>
  </si>
  <si>
    <t>Cost</t>
  </si>
  <si>
    <t>Space</t>
  </si>
  <si>
    <t>Kills</t>
  </si>
  <si>
    <t>Melee+</t>
  </si>
  <si>
    <t>Armor</t>
  </si>
  <si>
    <t>Type</t>
  </si>
  <si>
    <t>RAM Absorbtion</t>
  </si>
  <si>
    <t>SP</t>
  </si>
  <si>
    <t>DC</t>
  </si>
  <si>
    <t>Cost Multipliers</t>
  </si>
  <si>
    <t>Head</t>
  </si>
  <si>
    <t>N/A</t>
  </si>
  <si>
    <t>Multiplied Cost</t>
  </si>
  <si>
    <t>Torso</t>
  </si>
  <si>
    <t>Weight Effeciency</t>
  </si>
  <si>
    <t>R. Arm</t>
  </si>
  <si>
    <t>Weight Eff Cost</t>
  </si>
  <si>
    <t>L. Arm</t>
  </si>
  <si>
    <t>Effecient Weight</t>
  </si>
  <si>
    <t>R. Leg</t>
  </si>
  <si>
    <t>Effecient Cost</t>
  </si>
  <si>
    <t>L. Leg</t>
  </si>
  <si>
    <t>Command Armor, Boosters, Etc.</t>
  </si>
  <si>
    <t>Pod</t>
  </si>
  <si>
    <t>Wing</t>
  </si>
  <si>
    <t>Wheels</t>
  </si>
  <si>
    <t>Treads</t>
  </si>
  <si>
    <t>Remote Units</t>
  </si>
  <si>
    <t>Servo Cost:</t>
  </si>
  <si>
    <t>Armor Cost:</t>
  </si>
  <si>
    <t>Additive System CP:</t>
  </si>
  <si>
    <t>ADDITIVE SYSTEMS</t>
  </si>
  <si>
    <t>Additive System Weight:</t>
  </si>
  <si>
    <t>SYSTEM</t>
  </si>
  <si>
    <t>Number</t>
  </si>
  <si>
    <t>Base Space</t>
  </si>
  <si>
    <t>Eff</t>
  </si>
  <si>
    <t>Primary Pilot</t>
  </si>
  <si>
    <t>Passenger</t>
  </si>
  <si>
    <t>Extra Crew</t>
  </si>
  <si>
    <t>Main Sensors</t>
  </si>
  <si>
    <t>Sensor Range:</t>
  </si>
  <si>
    <t>km</t>
  </si>
  <si>
    <t>Communications Range:</t>
  </si>
  <si>
    <t>Backup Sensors</t>
  </si>
  <si>
    <t>Number of Remotes</t>
  </si>
  <si>
    <t>Remotes Cost</t>
  </si>
  <si>
    <t>Remote Weight</t>
  </si>
  <si>
    <t>Total Values</t>
  </si>
  <si>
    <t>Total Cost</t>
  </si>
  <si>
    <t>Total Weight</t>
  </si>
  <si>
    <t>Scaling</t>
  </si>
  <si>
    <t>Scale</t>
  </si>
  <si>
    <t>Cost Scale Factor</t>
  </si>
  <si>
    <t>Weight Scale Factor</t>
  </si>
  <si>
    <t>Final Cost</t>
  </si>
  <si>
    <t>Final Weight</t>
  </si>
  <si>
    <t>Manuver Pool Mods</t>
  </si>
  <si>
    <t>Add</t>
  </si>
  <si>
    <t>Mult</t>
  </si>
  <si>
    <t>Electronic Warfare Suite</t>
  </si>
  <si>
    <t>Powerplant</t>
  </si>
  <si>
    <t>Sensor Jamming</t>
  </si>
  <si>
    <t>Value:</t>
  </si>
  <si>
    <t>Radius:</t>
  </si>
  <si>
    <t>Beaming:</t>
  </si>
  <si>
    <t>Cockipit Controls</t>
  </si>
  <si>
    <t>ACE</t>
  </si>
  <si>
    <t>Missile Jamming</t>
  </si>
  <si>
    <t>Thought Control</t>
  </si>
  <si>
    <t>Radar Jamming</t>
  </si>
  <si>
    <t>MP Add:</t>
  </si>
  <si>
    <t>MP Mult:</t>
  </si>
  <si>
    <t>ECCM</t>
  </si>
  <si>
    <t>Remote Control Systems</t>
  </si>
  <si>
    <t>Class:</t>
  </si>
  <si>
    <t>Control Multiple:</t>
  </si>
  <si>
    <t>Range:</t>
  </si>
  <si>
    <t>Wire Controlled?:</t>
  </si>
  <si>
    <t>Silent Running</t>
  </si>
  <si>
    <t>Parachute</t>
  </si>
  <si>
    <t>Re-Entry Package</t>
  </si>
  <si>
    <t>Logic Processors</t>
  </si>
  <si>
    <t>Technical Analyzer</t>
  </si>
  <si>
    <t>Design and Decor</t>
  </si>
  <si>
    <t>Special System CP:</t>
  </si>
  <si>
    <t>SPECIAL SYSTEMS</t>
  </si>
  <si>
    <t>Special System Weight:</t>
  </si>
  <si>
    <t>Fuel</t>
  </si>
  <si>
    <t>Required?</t>
  </si>
  <si>
    <t>Weight</t>
  </si>
  <si>
    <t>Space Effeciency</t>
  </si>
  <si>
    <t>Eff Space</t>
  </si>
  <si>
    <t>Eff Cost</t>
  </si>
  <si>
    <t>B-Mod</t>
  </si>
  <si>
    <t>Range (1000s of km)</t>
  </si>
  <si>
    <t>MA</t>
  </si>
  <si>
    <t>Ground Effect System</t>
  </si>
  <si>
    <t>Hydrojets</t>
  </si>
  <si>
    <t>Thrusters</t>
  </si>
  <si>
    <t>Gravitics</t>
  </si>
  <si>
    <t>FMA</t>
  </si>
  <si>
    <t>Max Boost</t>
  </si>
  <si>
    <t>Primary</t>
  </si>
  <si>
    <t>Auxiliary One</t>
  </si>
  <si>
    <t>Auxiliary Two</t>
  </si>
  <si>
    <t>Auxiliary Three</t>
  </si>
  <si>
    <t>Auxiliary Four</t>
  </si>
  <si>
    <t>Command Armor CP:</t>
  </si>
  <si>
    <t>COMMAND ARMOR</t>
  </si>
  <si>
    <t>Command Armor Weight:</t>
  </si>
  <si>
    <t>Class</t>
  </si>
  <si>
    <t>Verniers</t>
  </si>
  <si>
    <t>Adjusted B-Mod</t>
  </si>
  <si>
    <t>Command Armor Equipment</t>
  </si>
  <si>
    <t>Component</t>
  </si>
  <si>
    <t>Enter Data Here</t>
  </si>
  <si>
    <t>Total B-Mod</t>
  </si>
  <si>
    <t>COST MULTIPLIER SYSTEMS</t>
  </si>
  <si>
    <t>Eff CPs:</t>
  </si>
  <si>
    <t>Multiplier</t>
  </si>
  <si>
    <t>Hot?</t>
  </si>
  <si>
    <t>XS</t>
  </si>
  <si>
    <t>Charge</t>
  </si>
  <si>
    <t>Source</t>
  </si>
  <si>
    <t>Cockpit Controls</t>
  </si>
  <si>
    <t>Hydraulics</t>
  </si>
  <si>
    <t>+Add</t>
  </si>
  <si>
    <t>Environmental Protecion Systems</t>
  </si>
  <si>
    <t>Arctic</t>
  </si>
  <si>
    <t>Desert</t>
  </si>
  <si>
    <t>Underwater</t>
  </si>
  <si>
    <t>High Pressure</t>
  </si>
  <si>
    <t>EM</t>
  </si>
  <si>
    <t>Re-Entry</t>
  </si>
  <si>
    <t>Maneuver Verniers</t>
  </si>
  <si>
    <t>Spaces</t>
  </si>
  <si>
    <t>ACE Maneuver Pool Bonus</t>
  </si>
  <si>
    <t>Internal Automation</t>
  </si>
  <si>
    <t>Level</t>
  </si>
  <si>
    <t>Portfolio</t>
  </si>
  <si>
    <t>Cloaking</t>
  </si>
  <si>
    <t>Shadow Imager</t>
  </si>
  <si>
    <t>ESPer Lens</t>
  </si>
  <si>
    <t>Draw</t>
  </si>
  <si>
    <t>Backlash</t>
  </si>
  <si>
    <t>Turbocharger</t>
  </si>
  <si>
    <t>Techno-Organic</t>
  </si>
  <si>
    <t>Lightspeed Engines</t>
  </si>
  <si>
    <t>Teleportation</t>
  </si>
  <si>
    <t>Dimensional?</t>
  </si>
  <si>
    <t>Transformation</t>
  </si>
  <si>
    <t>Mode 1</t>
  </si>
  <si>
    <t>GMB</t>
  </si>
  <si>
    <t>FMB</t>
  </si>
  <si>
    <t>Mode 2</t>
  </si>
  <si>
    <t>Mode 3</t>
  </si>
  <si>
    <t>Mode 4</t>
  </si>
  <si>
    <t>Total Multipliers:</t>
  </si>
  <si>
    <t>Weapon CP:</t>
  </si>
  <si>
    <t>Weapon Weight:</t>
  </si>
  <si>
    <t>Range</t>
  </si>
  <si>
    <t>Dmg</t>
  </si>
  <si>
    <t>WA</t>
  </si>
  <si>
    <t>BV</t>
  </si>
  <si>
    <t>Shots</t>
  </si>
  <si>
    <t>Space Eff</t>
  </si>
  <si>
    <t>Servo Costs</t>
  </si>
  <si>
    <t>Arm</t>
  </si>
  <si>
    <t>Arm +Add</t>
  </si>
  <si>
    <t>Throw</t>
  </si>
  <si>
    <t>Leg</t>
  </si>
  <si>
    <t>Leg +Add</t>
  </si>
  <si>
    <t>Wings Etc.</t>
  </si>
  <si>
    <t>Pod Cost</t>
  </si>
  <si>
    <t>Pod Space</t>
  </si>
  <si>
    <t>None</t>
  </si>
  <si>
    <t>Superlight</t>
  </si>
  <si>
    <t>Lightweight</t>
  </si>
  <si>
    <t>Striker</t>
  </si>
  <si>
    <t>Medium Striker</t>
  </si>
  <si>
    <t>Heavy Striker</t>
  </si>
  <si>
    <t>Mediumweight</t>
  </si>
  <si>
    <t>Light Heavy</t>
  </si>
  <si>
    <t>Medium Heavy</t>
  </si>
  <si>
    <t>Armored Heavy</t>
  </si>
  <si>
    <t>Super Heavy</t>
  </si>
  <si>
    <t>Mega Heavy</t>
  </si>
  <si>
    <t>Armor Type</t>
  </si>
  <si>
    <t>No</t>
  </si>
  <si>
    <t>Ablative</t>
  </si>
  <si>
    <t>Yes</t>
  </si>
  <si>
    <t>Standard</t>
  </si>
  <si>
    <t>Alpha</t>
  </si>
  <si>
    <t>Beta</t>
  </si>
  <si>
    <t>Gamma</t>
  </si>
  <si>
    <t>RAM</t>
  </si>
  <si>
    <t>Absorption</t>
  </si>
  <si>
    <t>Penalty</t>
  </si>
  <si>
    <t>Sensors</t>
  </si>
  <si>
    <t>Sensor Range</t>
  </si>
  <si>
    <t>Communicaiton Range</t>
  </si>
  <si>
    <t>Near Orbit</t>
  </si>
  <si>
    <t>Backup</t>
  </si>
  <si>
    <t>Additive Systems</t>
  </si>
  <si>
    <t>Electronic Warfare Systems</t>
  </si>
  <si>
    <t>Advanced Sensor Package</t>
  </si>
  <si>
    <t>Value</t>
  </si>
  <si>
    <t>Radius</t>
  </si>
  <si>
    <t>Beaming</t>
  </si>
  <si>
    <t>Radio/Radar Analyzer</t>
  </si>
  <si>
    <t>Resolution Intensifiers</t>
  </si>
  <si>
    <t>Spotting Radar</t>
  </si>
  <si>
    <t>Target Analyzer</t>
  </si>
  <si>
    <t>Marine Suite</t>
  </si>
  <si>
    <t>Gravity Lens</t>
  </si>
  <si>
    <t>Stereo</t>
  </si>
  <si>
    <t>Liftwire</t>
  </si>
  <si>
    <t>Antitheft Code Lock</t>
  </si>
  <si>
    <t>Antitheft Silent Pager Alarm</t>
  </si>
  <si>
    <t>Spotlights</t>
  </si>
  <si>
    <t>Nightlights</t>
  </si>
  <si>
    <t>Storage Module</t>
  </si>
  <si>
    <t>Micromanipulators</t>
  </si>
  <si>
    <t>Slick Spray</t>
  </si>
  <si>
    <t>CM</t>
  </si>
  <si>
    <t>Bogg Spray</t>
  </si>
  <si>
    <t>0/1</t>
  </si>
  <si>
    <t>Damage Control Package</t>
  </si>
  <si>
    <t>1/3</t>
  </si>
  <si>
    <t>Quick-Change Mount</t>
  </si>
  <si>
    <t>3/9</t>
  </si>
  <si>
    <t>Ejection Seat</t>
  </si>
  <si>
    <t>5/15</t>
  </si>
  <si>
    <t>Escape Pod</t>
  </si>
  <si>
    <t>7/21</t>
  </si>
  <si>
    <t>Maneuver Pod</t>
  </si>
  <si>
    <t>9/27</t>
  </si>
  <si>
    <t>Vehicle Pod</t>
  </si>
  <si>
    <t>12/36</t>
  </si>
  <si>
    <t>Magnetic Resonance Lens</t>
  </si>
  <si>
    <t>15/45</t>
  </si>
  <si>
    <t>20/Unlim</t>
  </si>
  <si>
    <t>Statistical Enhancement</t>
  </si>
  <si>
    <t>Logic Proc</t>
  </si>
  <si>
    <t>Tech</t>
  </si>
  <si>
    <t>Cool</t>
  </si>
  <si>
    <t>+1</t>
  </si>
  <si>
    <t>+2</t>
  </si>
  <si>
    <t>+3</t>
  </si>
  <si>
    <t>Cost/Kills</t>
  </si>
  <si>
    <t>Cost Mod</t>
  </si>
  <si>
    <t>+0</t>
  </si>
  <si>
    <t>+4</t>
  </si>
  <si>
    <t>+5</t>
  </si>
  <si>
    <t>+6</t>
  </si>
  <si>
    <t>+8</t>
  </si>
  <si>
    <t>+10</t>
  </si>
  <si>
    <t>+20</t>
  </si>
  <si>
    <t>+50</t>
  </si>
  <si>
    <t>+100</t>
  </si>
  <si>
    <t>Limbs</t>
  </si>
  <si>
    <t>Other</t>
  </si>
  <si>
    <t>B. Mod</t>
  </si>
  <si>
    <t>Balance Verniers</t>
  </si>
  <si>
    <t>Space Pen</t>
  </si>
  <si>
    <t>MP</t>
  </si>
  <si>
    <t>Undercharged</t>
  </si>
  <si>
    <t>Overcharged</t>
  </si>
  <si>
    <t>Supercharged</t>
  </si>
  <si>
    <t>Power Source</t>
  </si>
  <si>
    <t>Fusion</t>
  </si>
  <si>
    <t>Bio-energy</t>
  </si>
  <si>
    <t>Power Cell</t>
  </si>
  <si>
    <t>Combustion</t>
  </si>
  <si>
    <t>Manual</t>
  </si>
  <si>
    <t>Screen</t>
  </si>
  <si>
    <t>Virtual</t>
  </si>
  <si>
    <t>Reflex</t>
  </si>
  <si>
    <t>Space Type</t>
  </si>
  <si>
    <t>Adds One Space to each Location</t>
  </si>
  <si>
    <t>Marine Type</t>
  </si>
  <si>
    <t>Heavy</t>
  </si>
  <si>
    <t>Costs One Space in each Location</t>
  </si>
  <si>
    <t>Superheavy</t>
  </si>
  <si>
    <t>Costs Two Spaces in each Location</t>
  </si>
  <si>
    <t>Environmentals</t>
  </si>
  <si>
    <t>+7</t>
  </si>
  <si>
    <t>+9</t>
  </si>
  <si>
    <t>+33%</t>
  </si>
  <si>
    <t>+67%</t>
  </si>
  <si>
    <t>+100%</t>
  </si>
  <si>
    <t>Basic</t>
  </si>
  <si>
    <t>Active</t>
  </si>
  <si>
    <t>Pulse Refract</t>
  </si>
  <si>
    <t>Magnetic Refract</t>
  </si>
  <si>
    <t>Beam Refract</t>
  </si>
  <si>
    <t>Fire Control</t>
  </si>
  <si>
    <t>Combat Cloak</t>
  </si>
  <si>
    <t>Electronic/Holographic</t>
  </si>
  <si>
    <t>Balloon</t>
  </si>
  <si>
    <t>Unlim</t>
  </si>
  <si>
    <t>Regenerating</t>
  </si>
  <si>
    <t>Regenerating Techno-Organic</t>
  </si>
  <si>
    <t>Sublight</t>
  </si>
  <si>
    <t>Hyperlight</t>
  </si>
  <si>
    <t>Teleporter</t>
  </si>
  <si>
    <t>Combat 2, Global 16km</t>
  </si>
  <si>
    <t>Combat 3, Global 81km</t>
  </si>
  <si>
    <t>Combat 3, Global 256km</t>
  </si>
  <si>
    <t>Combat 5, Global 625km</t>
  </si>
  <si>
    <t>Combat 6, Global 1,296km</t>
  </si>
  <si>
    <t>Combat 7, Global 2,401km</t>
  </si>
  <si>
    <t>Combat 8, Global 4,096km</t>
  </si>
  <si>
    <t>Humanoid</t>
  </si>
  <si>
    <t>Fighter</t>
  </si>
  <si>
    <t>Hybrid</t>
  </si>
  <si>
    <t>Helicopter</t>
  </si>
  <si>
    <t>Tank</t>
  </si>
  <si>
    <t>Submarine</t>
  </si>
  <si>
    <t>Boat</t>
  </si>
  <si>
    <t>Auto</t>
  </si>
  <si>
    <t>Cycle</t>
  </si>
  <si>
    <t>Mecharider</t>
  </si>
  <si>
    <t>Ship (Base)</t>
  </si>
  <si>
    <t>Beast</t>
  </si>
  <si>
    <t>Avian</t>
  </si>
  <si>
    <t>Tonnage</t>
  </si>
  <si>
    <t>Hit Boxes</t>
  </si>
  <si>
    <t>l</t>
  </si>
  <si>
    <t>q</t>
  </si>
  <si>
    <t>qq</t>
  </si>
  <si>
    <t>qqq</t>
  </si>
  <si>
    <t>qqqq</t>
  </si>
  <si>
    <t>qqqqq</t>
  </si>
  <si>
    <t>qqqqqq</t>
  </si>
  <si>
    <t>qqqqqqq</t>
  </si>
  <si>
    <t>qqqqqqqq</t>
  </si>
  <si>
    <t>qqqqqqqqq</t>
  </si>
  <si>
    <t>qqqqqqqqqq</t>
  </si>
  <si>
    <t>qqqqqqqqqqq</t>
  </si>
  <si>
    <t>qqqqqqqqqqqq</t>
  </si>
  <si>
    <t>qqqqqqqqqqqqq</t>
  </si>
  <si>
    <t>qqqqqqqqqqqqqq</t>
  </si>
  <si>
    <t>qqqqqqqqqqqqqqq</t>
  </si>
  <si>
    <t>qqqqqqqqqqqqqqqq</t>
  </si>
  <si>
    <t>qqqqqqqqqqqqqqqqq</t>
  </si>
  <si>
    <t>qqqqqqqqqqqqqqqqqq</t>
  </si>
  <si>
    <t>qqqqqqqqqqqqqqqqqqq</t>
  </si>
  <si>
    <t>qqqqqqqqqqqqqqqqqqqq</t>
  </si>
  <si>
    <t>qqqqqqqqqqqqqqqqqqqqq</t>
  </si>
  <si>
    <t>qqqqqqqqqqqqqqqqqqqqqq</t>
  </si>
  <si>
    <t>Manuever Pool Modifiers</t>
  </si>
  <si>
    <t>Controls</t>
  </si>
  <si>
    <t>Weapon Name</t>
  </si>
  <si>
    <t>Damage</t>
  </si>
  <si>
    <t>Ammo Cost</t>
  </si>
  <si>
    <t>Ammo Shots</t>
  </si>
  <si>
    <t>Notes</t>
  </si>
  <si>
    <t>AAA</t>
  </si>
  <si>
    <t>None- Select Weapon</t>
  </si>
  <si>
    <t>Beam</t>
  </si>
  <si>
    <t>Beam Cannon</t>
  </si>
  <si>
    <t>Beam Sweeper</t>
  </si>
  <si>
    <t>Giant Cannon</t>
  </si>
  <si>
    <t>Heavy Beam Cannon</t>
  </si>
  <si>
    <t>Heavy Beam Gun</t>
  </si>
  <si>
    <t>Light Beam Gun</t>
  </si>
  <si>
    <t>Medium Beam Gun</t>
  </si>
  <si>
    <t>Nova Cannon</t>
  </si>
  <si>
    <t>May be fired only once per battle.</t>
  </si>
  <si>
    <t>Pulse Cannon</t>
  </si>
  <si>
    <t>One Turn Warm-Up</t>
  </si>
  <si>
    <t>Gun</t>
  </si>
  <si>
    <t>Autocannon</t>
  </si>
  <si>
    <t>Epoxy Gun</t>
  </si>
  <si>
    <t>Mecha Fighting vs 18 to escape epoxy effect.</t>
  </si>
  <si>
    <t>Heavy Autocannon</t>
  </si>
  <si>
    <t>Heavy Cannon</t>
  </si>
  <si>
    <t>Light Cannon</t>
  </si>
  <si>
    <t>Medium Cannon</t>
  </si>
  <si>
    <t>Hand</t>
  </si>
  <si>
    <t>Claw</t>
  </si>
  <si>
    <t>Handy</t>
  </si>
  <si>
    <t>Pincer</t>
  </si>
  <si>
    <t>Talon</t>
  </si>
  <si>
    <t>Melee</t>
  </si>
  <si>
    <t>Axe</t>
  </si>
  <si>
    <t>Drill</t>
  </si>
  <si>
    <t>4 AP</t>
  </si>
  <si>
    <t>Energy Axe</t>
  </si>
  <si>
    <t>Energy Lance</t>
  </si>
  <si>
    <t>Energy Sword</t>
  </si>
  <si>
    <t>Mace</t>
  </si>
  <si>
    <t>Nova Sword</t>
  </si>
  <si>
    <t>Saw</t>
  </si>
  <si>
    <t>6 AP</t>
  </si>
  <si>
    <t>Shock Whip</t>
  </si>
  <si>
    <t>Shock Effect.  See MZ p.98</t>
  </si>
  <si>
    <t>Sword</t>
  </si>
  <si>
    <t>Missile</t>
  </si>
  <si>
    <t>Heavy Missile</t>
  </si>
  <si>
    <t>M</t>
  </si>
  <si>
    <t>Missile Pod</t>
  </si>
  <si>
    <t>Rocket Launcher</t>
  </si>
  <si>
    <t>Rocket Pod</t>
  </si>
  <si>
    <t>Elomani Remote Bit</t>
  </si>
  <si>
    <t>Beam Needler</t>
  </si>
  <si>
    <t>2 AP</t>
  </si>
  <si>
    <t>50% Range.  All Purpose. Disruptor. Armor Piercing</t>
  </si>
  <si>
    <t>Q-Phase Rifle</t>
  </si>
  <si>
    <t>14-196</t>
  </si>
  <si>
    <t>7 AP</t>
  </si>
  <si>
    <t>Q-Phase Rifle Burst Mode</t>
  </si>
  <si>
    <t>18-324</t>
  </si>
  <si>
    <t>12 AP</t>
  </si>
  <si>
    <t xml:space="preserve">Beam </t>
  </si>
  <si>
    <t>Heavy Beam Needler</t>
  </si>
  <si>
    <t>Swarm Missile Pack</t>
  </si>
  <si>
    <t xml:space="preserve">   M</t>
  </si>
  <si>
    <t>Smart 1 Skill 6. BR 1. HyperVelocity.  All Purpose</t>
  </si>
  <si>
    <t>Medium Range Multipurpose Missile Pack</t>
  </si>
  <si>
    <t>11-121</t>
  </si>
  <si>
    <t xml:space="preserve">Smart 2 Skill 9.  Long Range.  HyperVelocity.  </t>
  </si>
  <si>
    <t>Long Range Multipurpose Missile Pack</t>
  </si>
  <si>
    <t>22-484</t>
  </si>
  <si>
    <t xml:space="preserve">Smart 2 Skill 12 .  Long Range.  HyperVelocity.  </t>
  </si>
  <si>
    <t>Beam Bayonet</t>
  </si>
  <si>
    <t>SCE-Rapier</t>
  </si>
  <si>
    <t>Portfolio 2. Quick  AP 1/3</t>
  </si>
  <si>
    <t>SCE-Katana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</si>
  <si>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Portfolio with the SCE-Rapier. Hyper. AP 1/3</t>
    </r>
  </si>
  <si>
    <t xml:space="preserve">Q-Phase Long Rifle </t>
  </si>
  <si>
    <t>9 AP</t>
  </si>
  <si>
    <t>Q-Phase Long Rifle Burst Mode</t>
  </si>
  <si>
    <t>23-529</t>
  </si>
  <si>
    <t>15 AP</t>
  </si>
  <si>
    <t>GP-Vulcun</t>
  </si>
  <si>
    <t>Hypervelocity. All Purpose.</t>
  </si>
  <si>
    <t>GP-Rifle</t>
  </si>
  <si>
    <t>8 AP</t>
  </si>
  <si>
    <t>Long Range. Hypervelocity. Variable/Phalanx</t>
  </si>
  <si>
    <t>Beam Weapons</t>
  </si>
  <si>
    <t>Accuracy</t>
  </si>
  <si>
    <t>Wide Angle</t>
  </si>
  <si>
    <t>Purpose</t>
  </si>
  <si>
    <t>25%</t>
  </si>
  <si>
    <t>50%</t>
  </si>
  <si>
    <t>Hex</t>
  </si>
  <si>
    <t>Anti-Missile</t>
  </si>
  <si>
    <t>75%</t>
  </si>
  <si>
    <t>60 Deg</t>
  </si>
  <si>
    <t>Std/Anti-Missile</t>
  </si>
  <si>
    <t>100%</t>
  </si>
  <si>
    <t>180 Deg</t>
  </si>
  <si>
    <t>Anti-Personnel</t>
  </si>
  <si>
    <t>125%</t>
  </si>
  <si>
    <t>300 Deg</t>
  </si>
  <si>
    <t>Std/Anti-Personnel</t>
  </si>
  <si>
    <t>150%</t>
  </si>
  <si>
    <t>360 Deg</t>
  </si>
  <si>
    <t>Anti-Missile/Anti-Personnel</t>
  </si>
  <si>
    <t>175%</t>
  </si>
  <si>
    <t>All-Purpose</t>
  </si>
  <si>
    <t>200%</t>
  </si>
  <si>
    <t>250%</t>
  </si>
  <si>
    <t>Burst Value</t>
  </si>
  <si>
    <t>300%</t>
  </si>
  <si>
    <t>Warm-Up Time</t>
  </si>
  <si>
    <t>Energy Melee Weapon Data</t>
  </si>
  <si>
    <t>Attack Factor</t>
  </si>
  <si>
    <t>Turns In Use</t>
  </si>
  <si>
    <t>Beam Shield</t>
  </si>
  <si>
    <t>Variable</t>
  </si>
  <si>
    <t>Melee Weapon Data</t>
  </si>
  <si>
    <t>Shock Only</t>
  </si>
  <si>
    <t>Shock Added</t>
  </si>
  <si>
    <t>Missile Data</t>
  </si>
  <si>
    <t>Smart</t>
  </si>
  <si>
    <t>Skill</t>
  </si>
  <si>
    <t>Blast Radius</t>
  </si>
  <si>
    <t>Countermissile</t>
  </si>
  <si>
    <t>Smoke</t>
  </si>
  <si>
    <t>Scatter</t>
  </si>
  <si>
    <t>Smoke/Scatter</t>
  </si>
  <si>
    <t>Projectile Weapons</t>
  </si>
  <si>
    <t>Multi-Feed</t>
  </si>
  <si>
    <t>Phalanx</t>
  </si>
  <si>
    <t>Std/Phalanx</t>
  </si>
  <si>
    <t>Anti-Personnel/Phalanx</t>
  </si>
  <si>
    <t>Ammunition Effect</t>
  </si>
  <si>
    <t>Blast</t>
  </si>
  <si>
    <t>HE</t>
  </si>
  <si>
    <t>Paintball</t>
  </si>
  <si>
    <t>I</t>
  </si>
  <si>
    <t>Foam</t>
  </si>
  <si>
    <t>II</t>
  </si>
  <si>
    <t>Tracer</t>
  </si>
  <si>
    <t>III</t>
  </si>
  <si>
    <t>Kinetic</t>
  </si>
  <si>
    <t>IV</t>
  </si>
  <si>
    <t>Tangler</t>
  </si>
  <si>
    <t>V</t>
  </si>
  <si>
    <t>AP</t>
  </si>
  <si>
    <t>Disruptor</t>
  </si>
  <si>
    <t>Incendiary</t>
  </si>
  <si>
    <t>+Shock</t>
  </si>
  <si>
    <t>Scatter Shot</t>
  </si>
  <si>
    <t>Beam Weapon Creator</t>
  </si>
  <si>
    <t>Base Range</t>
  </si>
  <si>
    <t>Range Modifier</t>
  </si>
  <si>
    <t>Mod Range</t>
  </si>
  <si>
    <t>Warm-Up</t>
  </si>
  <si>
    <t>Wide-Angle</t>
  </si>
  <si>
    <t>Clip Fed?</t>
  </si>
  <si>
    <t>Fragile?</t>
  </si>
  <si>
    <t>Long-Range?</t>
  </si>
  <si>
    <t>Hydro?</t>
  </si>
  <si>
    <t>Mega-Beam?</t>
  </si>
  <si>
    <t>Disruptor?</t>
  </si>
  <si>
    <t>Cost and Space Subtotal:</t>
  </si>
  <si>
    <t>Space Effeciency:</t>
  </si>
  <si>
    <t>Final Space:</t>
  </si>
  <si>
    <t>Final Cost:</t>
  </si>
  <si>
    <t>Quantum Cannon</t>
  </si>
  <si>
    <t>Energy Melee Weapon Creator</t>
  </si>
  <si>
    <t>Turns in Use</t>
  </si>
  <si>
    <t>Rechargeable?</t>
  </si>
  <si>
    <t>Thrown?</t>
  </si>
  <si>
    <t>Quick?</t>
  </si>
  <si>
    <t>Hyper?</t>
  </si>
  <si>
    <t>Beam Shield?</t>
  </si>
  <si>
    <t>Melee Weapon Creator</t>
  </si>
  <si>
    <t>Returning?</t>
  </si>
  <si>
    <t>Handy?</t>
  </si>
  <si>
    <t>Clumsy?</t>
  </si>
  <si>
    <t>Entangling?</t>
  </si>
  <si>
    <t>Armor-Piercing?</t>
  </si>
  <si>
    <t>Shock</t>
  </si>
  <si>
    <t>Missile Creator</t>
  </si>
  <si>
    <t>Range Mod</t>
  </si>
  <si>
    <t>Smart?</t>
  </si>
  <si>
    <t>Kills (One Missile)</t>
  </si>
  <si>
    <t>Long Range?</t>
  </si>
  <si>
    <t>Foam?</t>
  </si>
  <si>
    <t>Hypervelocity?</t>
  </si>
  <si>
    <t>Flare?</t>
  </si>
  <si>
    <t>Fuse?</t>
  </si>
  <si>
    <t>Smoke/Scatter?</t>
  </si>
  <si>
    <t>Nuclear?</t>
  </si>
  <si>
    <t>Countermissile?</t>
  </si>
  <si>
    <t>Missiles In Pack</t>
  </si>
  <si>
    <t>Base Kills</t>
  </si>
  <si>
    <t>Projectile Weapon Creator</t>
  </si>
  <si>
    <t>Ammunition Creator</t>
  </si>
  <si>
    <t>Base Weapon Cost:</t>
  </si>
  <si>
    <t>Effect One</t>
  </si>
  <si>
    <t>Effect Two</t>
  </si>
  <si>
    <t>Effect Three</t>
  </si>
  <si>
    <t>Nuke?</t>
  </si>
  <si>
    <t>Shots/Mag</t>
  </si>
  <si>
    <t>Space/Mag</t>
  </si>
  <si>
    <t>Cost/Rd</t>
  </si>
  <si>
    <t>Cost/Mag</t>
  </si>
  <si>
    <t>Eff Space/Mag</t>
  </si>
  <si>
    <t>Type One:</t>
  </si>
  <si>
    <t>Type Two:</t>
  </si>
  <si>
    <t>Type Three:</t>
  </si>
  <si>
    <t>Type Four:</t>
  </si>
  <si>
    <t>B-Mod MV</t>
  </si>
  <si>
    <t>Pilot Name:</t>
  </si>
  <si>
    <t>Pilot Reflex:</t>
  </si>
  <si>
    <t>MP:</t>
  </si>
  <si>
    <t>Mecha Piloting Skill:</t>
  </si>
  <si>
    <t>XS:</t>
  </si>
  <si>
    <t>Armor DC</t>
  </si>
  <si>
    <t>Armor Boxes</t>
  </si>
  <si>
    <t>Kill Boxes</t>
  </si>
  <si>
    <t>Command Armor DC</t>
  </si>
  <si>
    <t>Command Armor Boxes</t>
  </si>
  <si>
    <t>Weapons</t>
  </si>
  <si>
    <t>11 AP</t>
  </si>
  <si>
    <t>GP-Assault Rifle</t>
  </si>
  <si>
    <t>Beam Shield SP 12. Rechargeable</t>
  </si>
  <si>
    <t>Advanced Medium Range Multipurpose Missile Pack</t>
  </si>
  <si>
    <t>Smart 1 Skill 6. HyperVelocity.  All Purpose</t>
  </si>
  <si>
    <t>Megacharged</t>
  </si>
  <si>
    <t>Total Conversion</t>
  </si>
  <si>
    <t>Sheilds</t>
  </si>
  <si>
    <t>Reactive</t>
  </si>
  <si>
    <t>Q-Phase Long Rifle Blast Mode</t>
  </si>
  <si>
    <t>Q-Phase Rifle Blast Mode</t>
  </si>
  <si>
    <r>
      <t>Portfolio 4,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Portfolio. Long Range. Disruptor. Armor Piercing</t>
    </r>
  </si>
  <si>
    <t xml:space="preserve">Portfolio 3. 1st Portfolio. WA: 1-Hex. Long Range. Disruptor. Armor Piercing  </t>
  </si>
  <si>
    <t>10-100</t>
  </si>
  <si>
    <t>13-169</t>
  </si>
  <si>
    <t xml:space="preserve">4th Portfolio with the Q-Phase Rifle. Hyper. </t>
  </si>
  <si>
    <t xml:space="preserve">3rd Portfolio with the Q-Phase Rifle. All Purpose. Long Range. Disruptor. Armor Piercing. </t>
  </si>
  <si>
    <t>2nd Portfolio with the Q-Phase Rifle.  WA: 1-Hex. Long Range. Warm-Up 2. Disruptor. Armor Piercing</t>
  </si>
  <si>
    <t>2nd Portfolio with the Q-Phase Long Rifle. WA: 1-Hex. Long Range. Warm-Up 2. Disruptor. Armor Piercing</t>
  </si>
  <si>
    <t xml:space="preserve">3rd Portfolio with the Q-Phase Long Rifle. All Purpose. Long Range. Disruptor. Armor Piercing. </t>
  </si>
  <si>
    <t>20 AP</t>
  </si>
  <si>
    <t>X-Range Lance</t>
  </si>
  <si>
    <t>Point Defense System</t>
  </si>
  <si>
    <t>M-Range Ballista</t>
  </si>
  <si>
    <t>Ballista Ammo</t>
  </si>
  <si>
    <t>AP, Disruptor</t>
  </si>
  <si>
    <t>Electronic Warfare</t>
  </si>
  <si>
    <t>Mecha Tech</t>
  </si>
  <si>
    <t>Jury Rig</t>
  </si>
  <si>
    <t>Mecha Piloting</t>
  </si>
  <si>
    <t>Mecha Missiles</t>
  </si>
  <si>
    <t>Mecha Gunnery</t>
  </si>
  <si>
    <t>Awareness</t>
  </si>
  <si>
    <t>Leadership</t>
  </si>
  <si>
    <t>Mecha Melee</t>
  </si>
  <si>
    <t>Defense Ability</t>
  </si>
  <si>
    <t>Reset Time</t>
  </si>
  <si>
    <t>Does Not Reset</t>
  </si>
  <si>
    <t>Unlimited</t>
  </si>
  <si>
    <t>Weakness</t>
  </si>
  <si>
    <t>Energy Only</t>
  </si>
  <si>
    <t>Matter Only</t>
  </si>
  <si>
    <t>Ranged Only</t>
  </si>
  <si>
    <t>Enclosing</t>
  </si>
  <si>
    <t>Offensive</t>
  </si>
  <si>
    <t>Shields CP</t>
  </si>
  <si>
    <t>Servo Weight</t>
  </si>
  <si>
    <t>Armor Weight:</t>
  </si>
  <si>
    <t>Binder Space</t>
  </si>
  <si>
    <t>Concealment</t>
  </si>
  <si>
    <t>Conditional Movement</t>
  </si>
  <si>
    <t>Efficient Transformation</t>
  </si>
  <si>
    <t>Metaform Legs</t>
  </si>
  <si>
    <t>Metaform Wings</t>
  </si>
  <si>
    <t>Modular Metaforms</t>
  </si>
  <si>
    <t>Transat Ability</t>
  </si>
  <si>
    <t>VTOL Ability</t>
  </si>
  <si>
    <t>Weapon Network</t>
  </si>
  <si>
    <t>MA Type:</t>
  </si>
  <si>
    <t>(GES)</t>
  </si>
  <si>
    <t>(Hyd)</t>
  </si>
  <si>
    <t>(Thr)</t>
  </si>
  <si>
    <t>(Wh/Tr)</t>
  </si>
  <si>
    <t>(Gra)</t>
  </si>
  <si>
    <t>Total G</t>
  </si>
  <si>
    <t>Total F</t>
  </si>
  <si>
    <t>Space Efficiency:</t>
  </si>
  <si>
    <t>Edit ONLY dropdown boxes and Green cells.</t>
  </si>
  <si>
    <t>MECHA SUMMARY</t>
  </si>
  <si>
    <t>Stealth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</si>
</sst>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sz val="10"/>
      <name val="Wingdings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  <font>
      <sz val="3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/>
      <top/>
      <bottom/>
    </border>
    <border>
      <left style="medium">
        <color indexed="63"/>
      </left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indexed="63"/>
      </left>
      <right/>
      <top style="medium"/>
      <bottom/>
    </border>
    <border>
      <left/>
      <right style="medium"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 style="medium">
        <color indexed="63"/>
      </right>
      <top style="medium"/>
      <bottom/>
    </border>
    <border>
      <left style="medium">
        <color indexed="63"/>
      </left>
      <right style="medium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4" fillId="34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2" fillId="33" borderId="12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20" xfId="0" applyBorder="1" applyAlignment="1">
      <alignment horizontal="left"/>
    </xf>
    <xf numFmtId="0" fontId="7" fillId="0" borderId="0" xfId="0" applyFont="1" applyAlignment="1">
      <alignment/>
    </xf>
    <xf numFmtId="0" fontId="0" fillId="33" borderId="0" xfId="0" applyFill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/>
    </xf>
    <xf numFmtId="0" fontId="47" fillId="35" borderId="2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24" xfId="0" applyFill="1" applyBorder="1" applyAlignment="1">
      <alignment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8" fillId="35" borderId="25" xfId="0" applyFont="1" applyFill="1" applyBorder="1" applyAlignment="1">
      <alignment/>
    </xf>
    <xf numFmtId="0" fontId="48" fillId="35" borderId="28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5" fillId="36" borderId="17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2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33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0" fillId="38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35" borderId="24" xfId="0" applyFont="1" applyFill="1" applyBorder="1" applyAlignment="1">
      <alignment horizontal="right"/>
    </xf>
    <xf numFmtId="0" fontId="48" fillId="35" borderId="25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24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0" fillId="37" borderId="13" xfId="0" applyFill="1" applyBorder="1" applyAlignment="1">
      <alignment horizontal="left"/>
    </xf>
    <xf numFmtId="0" fontId="0" fillId="39" borderId="25" xfId="0" applyFill="1" applyBorder="1" applyAlignment="1">
      <alignment horizontal="center"/>
    </xf>
    <xf numFmtId="0" fontId="0" fillId="39" borderId="2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81"/>
  <sheetViews>
    <sheetView tabSelected="1" zoomScalePageLayoutView="0" workbookViewId="0" topLeftCell="A183">
      <selection activeCell="F209" sqref="F209"/>
    </sheetView>
  </sheetViews>
  <sheetFormatPr defaultColWidth="9.140625" defaultRowHeight="16.5" customHeight="1"/>
  <cols>
    <col min="2" max="2" width="13.8515625" style="0" customWidth="1"/>
    <col min="3" max="3" width="12.140625" style="0" bestFit="1" customWidth="1"/>
    <col min="5" max="5" width="14.7109375" style="0" bestFit="1" customWidth="1"/>
    <col min="6" max="6" width="13.421875" style="0" customWidth="1"/>
    <col min="7" max="7" width="15.00390625" style="0" customWidth="1"/>
    <col min="8" max="8" width="6.57421875" style="0" customWidth="1"/>
    <col min="9" max="9" width="8.140625" style="0" customWidth="1"/>
    <col min="10" max="10" width="14.57421875" style="0" customWidth="1"/>
    <col min="11" max="11" width="15.140625" style="0" customWidth="1"/>
    <col min="12" max="12" width="9.28125" style="0" customWidth="1"/>
  </cols>
  <sheetData>
    <row r="1" spans="1:19" ht="16.5" customHeight="1">
      <c r="A1" s="159" t="s">
        <v>672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6.5" customHeight="1" thickBo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1" ht="16.5" customHeight="1" thickBot="1">
      <c r="A4" s="167" t="s">
        <v>673</v>
      </c>
      <c r="B4" s="168"/>
      <c r="C4" s="168"/>
      <c r="D4" s="168"/>
      <c r="E4" s="168"/>
      <c r="F4" s="168"/>
      <c r="G4" s="169"/>
      <c r="K4" s="1"/>
    </row>
    <row r="5" spans="1:12" ht="16.5" customHeight="1" thickBot="1">
      <c r="A5" s="137" t="s">
        <v>0</v>
      </c>
      <c r="B5" s="3">
        <f>S52</f>
        <v>0</v>
      </c>
      <c r="C5" s="3"/>
      <c r="D5" s="3"/>
      <c r="E5" s="3"/>
      <c r="F5" s="4" t="s">
        <v>1</v>
      </c>
      <c r="G5" s="138">
        <f>S53</f>
        <v>1</v>
      </c>
      <c r="K5" s="5" t="s">
        <v>2</v>
      </c>
      <c r="L5" s="6"/>
    </row>
    <row r="6" spans="1:19" ht="16.5" customHeight="1">
      <c r="A6" s="139" t="s">
        <v>3</v>
      </c>
      <c r="B6" s="8"/>
      <c r="C6" s="8" t="s">
        <v>4</v>
      </c>
      <c r="D6" s="8"/>
      <c r="E6" s="8" t="s">
        <v>5</v>
      </c>
      <c r="F6" s="8" t="s">
        <v>6</v>
      </c>
      <c r="G6" s="140" t="s">
        <v>7</v>
      </c>
      <c r="I6" s="9" t="s">
        <v>8</v>
      </c>
      <c r="K6" s="10" t="s">
        <v>9</v>
      </c>
      <c r="L6" s="11">
        <f>SUM(K98:K111,K115:K129)</f>
        <v>0</v>
      </c>
      <c r="P6" s="12"/>
      <c r="Q6" s="13" t="s">
        <v>10</v>
      </c>
      <c r="R6" s="14"/>
      <c r="S6" s="15"/>
    </row>
    <row r="7" spans="1:19" ht="16.5" customHeight="1">
      <c r="A7" s="114" t="str">
        <f>INDEX(Data!$A$355:$A$367,A192)</f>
        <v>Humanoid</v>
      </c>
      <c r="B7" s="16"/>
      <c r="C7" s="16">
        <f>(INT(S47/10)*(-1))+H192+J136+(10*F153)</f>
        <v>0</v>
      </c>
      <c r="D7" s="16"/>
      <c r="E7" s="16"/>
      <c r="F7" s="16">
        <f>IF(N193=TRUE,0,($I$7+$K$136+M192))</f>
        <v>6</v>
      </c>
      <c r="G7" s="116">
        <f>IF(N192=1,"HOVER @ LMA",IF($B$25&gt;$B$16+1,2,0)+N192+$K$136)</f>
        <v>0</v>
      </c>
      <c r="I7" s="9">
        <f>IF(S53&gt;80,2,6-INT(S53/20))</f>
        <v>6</v>
      </c>
      <c r="K7" s="10" t="s">
        <v>11</v>
      </c>
      <c r="L7" s="11">
        <f>SUM(N89:N93)</f>
        <v>0</v>
      </c>
      <c r="P7" s="17"/>
      <c r="Q7" s="4"/>
      <c r="R7" s="3"/>
      <c r="S7" s="18"/>
    </row>
    <row r="8" spans="1:19" ht="16.5" customHeight="1">
      <c r="A8" s="114" t="str">
        <f>INDEX(Data!$A$355:$A$368,A194)</f>
        <v>None</v>
      </c>
      <c r="B8" s="16"/>
      <c r="C8" s="16">
        <f>(INT(S47/10)*(-1))+H194+J136+(10*F153)</f>
        <v>0</v>
      </c>
      <c r="D8" s="16"/>
      <c r="E8" s="16"/>
      <c r="F8" s="16">
        <f>IF(N195=TRUE,0,($I$7+$K$136+M194))</f>
        <v>6</v>
      </c>
      <c r="G8" s="116">
        <f>IF(N194=1,HOVER,IF($B$25&gt;$B$16+1,2,0)+N194+$K$136)</f>
        <v>0</v>
      </c>
      <c r="K8" s="10" t="s">
        <v>12</v>
      </c>
      <c r="L8" s="11">
        <f>SUM(N81)</f>
        <v>0</v>
      </c>
      <c r="P8" s="2" t="s">
        <v>13</v>
      </c>
      <c r="Q8" s="19">
        <f>S52</f>
        <v>0</v>
      </c>
      <c r="R8" s="4" t="s">
        <v>1</v>
      </c>
      <c r="S8" s="20">
        <f>S53</f>
        <v>1</v>
      </c>
    </row>
    <row r="9" spans="1:19" ht="16.5" customHeight="1" thickBot="1">
      <c r="A9" s="114" t="str">
        <f>INDEX(Data!$A$355:$A$368,A196)</f>
        <v>None</v>
      </c>
      <c r="B9" s="16"/>
      <c r="C9" s="16">
        <f>(INT(S47/10)*(-1))+H196+J136+(10*F153)</f>
        <v>0</v>
      </c>
      <c r="D9" s="16"/>
      <c r="E9" s="16"/>
      <c r="F9" s="16">
        <f>IF(N195=TRUE,0,($I$7+$K$136+M196))</f>
        <v>6</v>
      </c>
      <c r="G9" s="116">
        <f>IF(N196=1,HOVER,IF($B$25&gt;$B$16+1,2,0)+N196+$K$136)</f>
        <v>0</v>
      </c>
      <c r="I9" s="96" t="s">
        <v>25</v>
      </c>
      <c r="K9" s="21" t="s">
        <v>14</v>
      </c>
      <c r="L9" s="22">
        <f>SUM(L6:L8)</f>
        <v>0</v>
      </c>
      <c r="P9" s="23" t="s">
        <v>15</v>
      </c>
      <c r="Q9" s="3"/>
      <c r="R9" s="3"/>
      <c r="S9" s="24"/>
    </row>
    <row r="10" spans="1:19" ht="16.5" customHeight="1" thickBot="1">
      <c r="A10" s="121" t="str">
        <f>INDEX(Data!$A$355:$A$368,A198)</f>
        <v>None</v>
      </c>
      <c r="B10" s="122"/>
      <c r="C10" s="122">
        <f>(INT(S47/10)*(-1))+H198+J136+(10*F153)</f>
        <v>0</v>
      </c>
      <c r="D10" s="122"/>
      <c r="E10" s="122"/>
      <c r="F10" s="122">
        <f>IF(N195=TRUE,0,($I$7+$K$136+M198))</f>
        <v>6</v>
      </c>
      <c r="G10" s="123">
        <f>IF(N198=1,HOVER,IF($B$25&gt;$B$16+1,2,0)+N198+$K$136)</f>
        <v>0</v>
      </c>
      <c r="I10" s="95">
        <f>SUM(E15:E30)-SUM(O213:O261,(H168-J168),(H153-J153),G115:G129,L78:L93,K69:K74,K36:K56,O266:O281)</f>
        <v>1</v>
      </c>
      <c r="P10" s="17" t="s">
        <v>16</v>
      </c>
      <c r="Q10" s="3"/>
      <c r="R10" s="3"/>
      <c r="S10" s="20">
        <f>N12+N34+N211+N76+N95+P266+P268+P270+P272</f>
        <v>1</v>
      </c>
    </row>
    <row r="11" spans="16:19" ht="16.5" customHeight="1">
      <c r="P11" s="17" t="s">
        <v>17</v>
      </c>
      <c r="Q11" s="3"/>
      <c r="R11" s="3"/>
      <c r="S11" s="20">
        <f>F78+F81</f>
        <v>0</v>
      </c>
    </row>
    <row r="12" spans="1:19" ht="16.5" customHeight="1">
      <c r="A12" s="27"/>
      <c r="B12" s="28" t="s">
        <v>18</v>
      </c>
      <c r="C12" s="27">
        <f>F32+L32</f>
        <v>0</v>
      </c>
      <c r="D12" s="27"/>
      <c r="E12" s="170" t="s">
        <v>19</v>
      </c>
      <c r="F12" s="170"/>
      <c r="G12" s="170"/>
      <c r="H12" s="170"/>
      <c r="I12" s="170"/>
      <c r="J12" s="170"/>
      <c r="K12" s="170"/>
      <c r="L12" s="27"/>
      <c r="M12" s="28" t="s">
        <v>20</v>
      </c>
      <c r="N12" s="27">
        <f>D31+L31</f>
        <v>1</v>
      </c>
      <c r="P12" s="17" t="s">
        <v>21</v>
      </c>
      <c r="Q12" s="3"/>
      <c r="R12" s="3"/>
      <c r="S12" s="20">
        <f>S11+S10</f>
        <v>1</v>
      </c>
    </row>
    <row r="13" spans="1:19" ht="16.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/>
      <c r="P13" s="17" t="s">
        <v>22</v>
      </c>
      <c r="Q13" s="3"/>
      <c r="R13" s="3"/>
      <c r="S13" s="20">
        <f>C12+C34+C76+C211+C264</f>
        <v>0</v>
      </c>
    </row>
    <row r="14" spans="1:19" ht="16.5" customHeight="1">
      <c r="A14" s="29" t="s">
        <v>23</v>
      </c>
      <c r="B14" s="16"/>
      <c r="C14" s="30" t="s">
        <v>24</v>
      </c>
      <c r="D14" s="30" t="s">
        <v>114</v>
      </c>
      <c r="E14" s="30" t="s">
        <v>25</v>
      </c>
      <c r="F14" s="30" t="s">
        <v>26</v>
      </c>
      <c r="G14" s="30" t="s">
        <v>27</v>
      </c>
      <c r="H14" s="31" t="s">
        <v>28</v>
      </c>
      <c r="I14" s="16"/>
      <c r="J14" s="31" t="s">
        <v>29</v>
      </c>
      <c r="K14" s="31" t="s">
        <v>30</v>
      </c>
      <c r="L14" s="32" t="s">
        <v>31</v>
      </c>
      <c r="M14" s="32" t="s">
        <v>32</v>
      </c>
      <c r="N14" s="11" t="s">
        <v>24</v>
      </c>
      <c r="P14" s="17" t="s">
        <v>33</v>
      </c>
      <c r="Q14" s="3"/>
      <c r="R14" s="3"/>
      <c r="S14" s="20">
        <f>1+F209</f>
        <v>1</v>
      </c>
    </row>
    <row r="15" spans="1:19" ht="16.5" customHeight="1">
      <c r="A15" s="10" t="s">
        <v>34</v>
      </c>
      <c r="B15" s="16">
        <v>1</v>
      </c>
      <c r="C15" s="30">
        <f>INDEX(Data!C3:C14,B15)</f>
        <v>0</v>
      </c>
      <c r="D15" s="30">
        <f>F15/2</f>
        <v>0</v>
      </c>
      <c r="E15" s="16">
        <f aca="true" t="shared" si="0" ref="E15:E20">C15</f>
        <v>0</v>
      </c>
      <c r="F15" s="16">
        <f aca="true" t="shared" si="1" ref="F15:F20">C15-(2*(C15-E15))</f>
        <v>0</v>
      </c>
      <c r="G15" s="30" t="s">
        <v>35</v>
      </c>
      <c r="H15" s="16">
        <v>1</v>
      </c>
      <c r="I15" s="16"/>
      <c r="J15" s="30">
        <v>2</v>
      </c>
      <c r="K15" s="30">
        <v>1</v>
      </c>
      <c r="L15" s="33">
        <f>(INDEX(Data!C3:C14,H15))*INDEX(Data!C25:C29,K15)</f>
        <v>0</v>
      </c>
      <c r="M15" s="16">
        <f>INDEX(Data!B17:B21,J15)</f>
        <v>1</v>
      </c>
      <c r="N15" s="11">
        <f>(H15-1)*INDEX(Data!$C$17:$C$21,J15)*INDEX(Data!$B$25:$B$29,K15)</f>
        <v>0</v>
      </c>
      <c r="P15" s="17" t="s">
        <v>36</v>
      </c>
      <c r="Q15" s="3"/>
      <c r="R15" s="3"/>
      <c r="S15" s="20">
        <f>S13*S14</f>
        <v>0</v>
      </c>
    </row>
    <row r="16" spans="1:19" ht="16.5" customHeight="1">
      <c r="A16" s="10" t="s">
        <v>37</v>
      </c>
      <c r="B16" s="16">
        <v>1</v>
      </c>
      <c r="C16" s="30">
        <f>INDEX(Data!B4:B14,B16)</f>
        <v>2</v>
      </c>
      <c r="D16" s="30">
        <f>F16/2</f>
        <v>1</v>
      </c>
      <c r="E16" s="16">
        <f t="shared" si="0"/>
        <v>2</v>
      </c>
      <c r="F16" s="16">
        <f t="shared" si="1"/>
        <v>2</v>
      </c>
      <c r="G16" s="30" t="s">
        <v>35</v>
      </c>
      <c r="H16" s="16">
        <v>1</v>
      </c>
      <c r="I16" s="16"/>
      <c r="J16" s="30">
        <v>2</v>
      </c>
      <c r="K16" s="30">
        <v>1</v>
      </c>
      <c r="L16" s="33">
        <f>(INDEX(Data!C3:C14,H16))*INDEX(Data!C25:C29,K16)</f>
        <v>0</v>
      </c>
      <c r="M16" s="16">
        <f>INDEX(Data!B17:B21,J16)</f>
        <v>1</v>
      </c>
      <c r="N16" s="11">
        <f>(H16-1)*INDEX(Data!$C$17:$C$21,J16)*INDEX(Data!$B$25:$B$29,K16)</f>
        <v>0</v>
      </c>
      <c r="P16" s="17" t="s">
        <v>38</v>
      </c>
      <c r="Q16" s="3"/>
      <c r="R16" s="3"/>
      <c r="S16" s="143">
        <v>0</v>
      </c>
    </row>
    <row r="17" spans="1:19" ht="16.5" customHeight="1">
      <c r="A17" s="10" t="s">
        <v>39</v>
      </c>
      <c r="B17" s="16">
        <v>1</v>
      </c>
      <c r="C17" s="30">
        <f>INDEX(Data!D3:D14,B17)</f>
        <v>0</v>
      </c>
      <c r="D17" s="30">
        <f>IF(B17&gt;1,F17/2-0.5,0)</f>
        <v>0</v>
      </c>
      <c r="E17" s="16">
        <f t="shared" si="0"/>
        <v>0</v>
      </c>
      <c r="F17" s="16">
        <f t="shared" si="1"/>
        <v>0</v>
      </c>
      <c r="G17" s="30">
        <f>INDEX(Data!E3:E14,B17)</f>
        <v>0</v>
      </c>
      <c r="H17" s="16">
        <v>1</v>
      </c>
      <c r="I17" s="16"/>
      <c r="J17" s="30">
        <v>2</v>
      </c>
      <c r="K17" s="30">
        <v>1</v>
      </c>
      <c r="L17" s="33">
        <f>(INDEX(Data!C3:C14,H17))*INDEX(Data!C25:C29,K17)</f>
        <v>0</v>
      </c>
      <c r="M17" s="16">
        <f>INDEX(Data!B17:B21,J17)</f>
        <v>1</v>
      </c>
      <c r="N17" s="11">
        <f>(H17-1)*INDEX(Data!$C$17:$C$21,J17)*INDEX(Data!$B$25:$B$29,K17)</f>
        <v>0</v>
      </c>
      <c r="P17" s="17" t="s">
        <v>40</v>
      </c>
      <c r="Q17" s="3"/>
      <c r="R17" s="3"/>
      <c r="S17" s="20">
        <f>S16*2</f>
        <v>0</v>
      </c>
    </row>
    <row r="18" spans="1:19" ht="16.5" customHeight="1">
      <c r="A18" s="10" t="s">
        <v>41</v>
      </c>
      <c r="B18" s="16">
        <v>1</v>
      </c>
      <c r="C18" s="30">
        <f>INDEX(Data!D3:D14,B18)</f>
        <v>0</v>
      </c>
      <c r="D18" s="30">
        <f>IF(B18&gt;1,F18/2-0.5,0)</f>
        <v>0</v>
      </c>
      <c r="E18" s="16">
        <f t="shared" si="0"/>
        <v>0</v>
      </c>
      <c r="F18" s="16">
        <f t="shared" si="1"/>
        <v>0</v>
      </c>
      <c r="G18" s="30">
        <f>INDEX(Data!E3:E14,B18)</f>
        <v>0</v>
      </c>
      <c r="H18" s="16">
        <v>1</v>
      </c>
      <c r="I18" s="16"/>
      <c r="J18" s="30">
        <v>2</v>
      </c>
      <c r="K18" s="30">
        <v>1</v>
      </c>
      <c r="L18" s="33">
        <f>(INDEX(Data!C3:C14,H18))*INDEX(Data!C25:C29,K18)</f>
        <v>0</v>
      </c>
      <c r="M18" s="16">
        <f>INDEX(Data!B17:B21,J18)</f>
        <v>1</v>
      </c>
      <c r="N18" s="11">
        <f>(H18-1)*INDEX(Data!$C$17:$C$21,J18)*INDEX(Data!$B$25:$B$29,K18)</f>
        <v>0</v>
      </c>
      <c r="P18" s="17" t="s">
        <v>42</v>
      </c>
      <c r="Q18" s="3"/>
      <c r="R18" s="3"/>
      <c r="S18" s="143">
        <f>S12-S16</f>
        <v>1</v>
      </c>
    </row>
    <row r="19" spans="1:19" ht="16.5" customHeight="1">
      <c r="A19" s="10" t="s">
        <v>43</v>
      </c>
      <c r="B19" s="16">
        <v>1</v>
      </c>
      <c r="C19" s="30">
        <f>INDEX(Data!G3:G14,B19)</f>
        <v>0</v>
      </c>
      <c r="D19" s="30">
        <f>IF(B19&gt;1,F19/2-0.5,0)</f>
        <v>0</v>
      </c>
      <c r="E19" s="16">
        <f t="shared" si="0"/>
        <v>0</v>
      </c>
      <c r="F19" s="16">
        <f t="shared" si="1"/>
        <v>0</v>
      </c>
      <c r="G19" s="30">
        <f>INDEX(Data!H3:H14,B19)</f>
        <v>0</v>
      </c>
      <c r="H19" s="16">
        <v>1</v>
      </c>
      <c r="I19" s="16"/>
      <c r="J19" s="30">
        <v>2</v>
      </c>
      <c r="K19" s="30">
        <v>1</v>
      </c>
      <c r="L19" s="33">
        <f>(INDEX(Data!C3:C14,H19))*INDEX(Data!C25:C29,K19)</f>
        <v>0</v>
      </c>
      <c r="M19" s="16">
        <f>INDEX(Data!B17:B21,J19)</f>
        <v>1</v>
      </c>
      <c r="N19" s="11">
        <f>(H19-1)*INDEX(Data!$C$17:$C$21,J19)*INDEX(Data!$B$25:$B$29,K19)</f>
        <v>0</v>
      </c>
      <c r="P19" s="17" t="s">
        <v>44</v>
      </c>
      <c r="Q19" s="3"/>
      <c r="R19" s="3"/>
      <c r="S19" s="20">
        <f>S17+S15</f>
        <v>0</v>
      </c>
    </row>
    <row r="20" spans="1:19" ht="16.5" customHeight="1">
      <c r="A20" s="10" t="s">
        <v>45</v>
      </c>
      <c r="B20" s="16">
        <v>1</v>
      </c>
      <c r="C20" s="30">
        <f>INDEX(Data!G3:G14,B20)</f>
        <v>0</v>
      </c>
      <c r="D20" s="30">
        <f>IF(B20&gt;1,F20/2-0.5,0)</f>
        <v>0</v>
      </c>
      <c r="E20" s="16">
        <f t="shared" si="0"/>
        <v>0</v>
      </c>
      <c r="F20" s="16">
        <f t="shared" si="1"/>
        <v>0</v>
      </c>
      <c r="G20" s="30">
        <f>INDEX(Data!H4:H14,B20)</f>
        <v>0</v>
      </c>
      <c r="H20" s="16">
        <v>1</v>
      </c>
      <c r="I20" s="16"/>
      <c r="J20" s="30">
        <v>2</v>
      </c>
      <c r="K20" s="30">
        <v>1</v>
      </c>
      <c r="L20" s="33">
        <f>(INDEX(Data!C3:C14,H20))*INDEX(Data!C25:C29,K20)</f>
        <v>0</v>
      </c>
      <c r="M20" s="16">
        <f>INDEX(Data!B17:B21,J20)</f>
        <v>1</v>
      </c>
      <c r="N20" s="11">
        <f>(H20-1)*INDEX(Data!$C$17:$C$21,J20)*INDEX(Data!$B$25:$B$29,K20)</f>
        <v>0</v>
      </c>
      <c r="P20" s="23" t="s">
        <v>46</v>
      </c>
      <c r="Q20" s="3"/>
      <c r="R20" s="3"/>
      <c r="S20" s="24"/>
    </row>
    <row r="21" spans="1:19" ht="16.5" customHeight="1">
      <c r="A21" s="10" t="s">
        <v>47</v>
      </c>
      <c r="B21" s="16">
        <v>1</v>
      </c>
      <c r="C21" s="30">
        <f>INDEX(Data!J3:J14,B21)</f>
        <v>0</v>
      </c>
      <c r="D21" s="30">
        <f>F21*0</f>
        <v>0</v>
      </c>
      <c r="E21" s="16">
        <f>C21</f>
        <v>0</v>
      </c>
      <c r="F21" s="16">
        <v>0</v>
      </c>
      <c r="G21" s="30" t="s">
        <v>35</v>
      </c>
      <c r="H21" s="16">
        <v>1</v>
      </c>
      <c r="I21" s="16"/>
      <c r="J21" s="30">
        <v>2</v>
      </c>
      <c r="K21" s="30">
        <v>1</v>
      </c>
      <c r="L21" s="33">
        <f>(INDEX(Data!C3:C14,H21))*INDEX(Data!C25:C29,K21)</f>
        <v>0</v>
      </c>
      <c r="M21" s="16">
        <f>INDEX(Data!B17:B21,J21)</f>
        <v>1</v>
      </c>
      <c r="N21" s="11">
        <f>(H21-1)*INDEX(Data!$C$17:$C$21,J21)*INDEX(Data!$B$25:$B$29,K21)</f>
        <v>0</v>
      </c>
      <c r="P21" s="17" t="s">
        <v>16</v>
      </c>
      <c r="Q21" s="3"/>
      <c r="R21" s="3"/>
      <c r="S21" s="20">
        <f>N95</f>
        <v>0</v>
      </c>
    </row>
    <row r="22" spans="1:19" ht="16.5" customHeight="1">
      <c r="A22" s="10" t="s">
        <v>47</v>
      </c>
      <c r="B22" s="16">
        <v>1</v>
      </c>
      <c r="C22" s="30">
        <f>INDEX(Data!J3:J14,B22)</f>
        <v>0</v>
      </c>
      <c r="D22" s="30">
        <f>F22*0</f>
        <v>0</v>
      </c>
      <c r="E22" s="35">
        <f>C22</f>
        <v>0</v>
      </c>
      <c r="F22" s="16">
        <v>0</v>
      </c>
      <c r="G22" s="30" t="s">
        <v>35</v>
      </c>
      <c r="H22" s="16">
        <v>1</v>
      </c>
      <c r="I22" s="16"/>
      <c r="J22" s="30">
        <v>2</v>
      </c>
      <c r="K22" s="30">
        <v>1</v>
      </c>
      <c r="L22" s="33">
        <f>(INDEX(Data!C3:C14,H22))*INDEX(Data!C25:C29,K22)</f>
        <v>0</v>
      </c>
      <c r="M22" s="16">
        <f>INDEX(Data!B17:B21,J22)</f>
        <v>1</v>
      </c>
      <c r="N22" s="11">
        <f>(H22-1)*INDEX(Data!$C$17:$C$21,J22)*INDEX(Data!$B$25:$B$29,K22)</f>
        <v>0</v>
      </c>
      <c r="P22" s="17" t="s">
        <v>22</v>
      </c>
      <c r="Q22" s="3"/>
      <c r="R22" s="3"/>
      <c r="S22" s="20">
        <f>C95</f>
        <v>0</v>
      </c>
    </row>
    <row r="23" spans="1:19" ht="16.5" customHeight="1">
      <c r="A23" s="10" t="s">
        <v>47</v>
      </c>
      <c r="B23" s="16">
        <v>1</v>
      </c>
      <c r="C23" s="30">
        <f>INDEX(Data!J3:J14,B23)</f>
        <v>0</v>
      </c>
      <c r="D23" s="30">
        <f>F23*0</f>
        <v>0</v>
      </c>
      <c r="E23" s="16">
        <f aca="true" t="shared" si="2" ref="E23:E28">C23</f>
        <v>0</v>
      </c>
      <c r="F23" s="16">
        <v>0</v>
      </c>
      <c r="G23" s="30" t="s">
        <v>35</v>
      </c>
      <c r="H23" s="16">
        <v>1</v>
      </c>
      <c r="I23" s="16"/>
      <c r="J23" s="30">
        <v>2</v>
      </c>
      <c r="K23" s="30">
        <v>1</v>
      </c>
      <c r="L23" s="33">
        <f>(INDEX(Data!C3:C14,H23))*INDEX(Data!C25:C29,K23)</f>
        <v>0</v>
      </c>
      <c r="M23" s="16">
        <f>INDEX(Data!B17:B21,J23)</f>
        <v>1</v>
      </c>
      <c r="N23" s="11">
        <f>(H23-1)*INDEX(Data!$C$17:$C$21,J23)*INDEX(Data!$B$25:$B$29,K23)</f>
        <v>0</v>
      </c>
      <c r="P23" s="17" t="s">
        <v>33</v>
      </c>
      <c r="Q23" s="3"/>
      <c r="R23" s="3"/>
      <c r="S23" s="34">
        <v>1</v>
      </c>
    </row>
    <row r="24" spans="1:19" ht="16.5" customHeight="1">
      <c r="A24" s="10" t="s">
        <v>47</v>
      </c>
      <c r="B24" s="16">
        <v>1</v>
      </c>
      <c r="C24" s="30">
        <f>INDEX(Data!J3:J14,B24)</f>
        <v>0</v>
      </c>
      <c r="D24" s="30">
        <f>F24*0</f>
        <v>0</v>
      </c>
      <c r="E24" s="16">
        <f t="shared" si="2"/>
        <v>0</v>
      </c>
      <c r="F24" s="16">
        <v>0</v>
      </c>
      <c r="G24" s="30" t="s">
        <v>35</v>
      </c>
      <c r="H24" s="16">
        <v>1</v>
      </c>
      <c r="I24" s="16"/>
      <c r="J24" s="30">
        <v>2</v>
      </c>
      <c r="K24" s="30">
        <v>1</v>
      </c>
      <c r="L24" s="33">
        <f>(INDEX(Data!C3:C14,H24))*INDEX(Data!C25:C29,K24)</f>
        <v>0</v>
      </c>
      <c r="M24" s="16">
        <f>INDEX(Data!B17:B21,J24)</f>
        <v>1</v>
      </c>
      <c r="N24" s="11">
        <f>(H24-1)*INDEX(Data!$C$17:$C$21,J24)*INDEX(Data!$B$25:$B$29,K24)</f>
        <v>0</v>
      </c>
      <c r="P24" s="17" t="s">
        <v>36</v>
      </c>
      <c r="Q24" s="3"/>
      <c r="R24" s="3"/>
      <c r="S24" s="20">
        <f>S22</f>
        <v>0</v>
      </c>
    </row>
    <row r="25" spans="1:19" ht="16.5" customHeight="1">
      <c r="A25" s="93" t="s">
        <v>48</v>
      </c>
      <c r="B25" s="16">
        <v>1</v>
      </c>
      <c r="C25" s="30">
        <f>INDEX(Data!I3:I14,B25)</f>
        <v>0</v>
      </c>
      <c r="D25" s="30">
        <f aca="true" t="shared" si="3" ref="D25:D30">F25/2</f>
        <v>0</v>
      </c>
      <c r="E25" s="16">
        <f t="shared" si="2"/>
        <v>0</v>
      </c>
      <c r="F25" s="16">
        <f>C25-(2*(C25-E25))</f>
        <v>0</v>
      </c>
      <c r="G25" s="30" t="s">
        <v>35</v>
      </c>
      <c r="H25" s="16">
        <v>1</v>
      </c>
      <c r="I25" s="16"/>
      <c r="J25" s="30">
        <v>2</v>
      </c>
      <c r="K25" s="30">
        <v>1</v>
      </c>
      <c r="L25" s="33">
        <f>(INDEX(Data!C3:C14,H25))*INDEX(Data!C25:C29,K25)</f>
        <v>0</v>
      </c>
      <c r="M25" s="16">
        <f>INDEX(Data!B17:B21,J25)</f>
        <v>1</v>
      </c>
      <c r="N25" s="11">
        <f>(H25-1)*INDEX(Data!$C$17:$C$21,J25)*INDEX(Data!$B$25:$B$29,K25)</f>
        <v>0</v>
      </c>
      <c r="P25" s="17" t="s">
        <v>38</v>
      </c>
      <c r="Q25" s="3"/>
      <c r="R25" s="3"/>
      <c r="S25" s="20">
        <v>0</v>
      </c>
    </row>
    <row r="26" spans="1:19" ht="16.5" customHeight="1">
      <c r="A26" s="10" t="s">
        <v>48</v>
      </c>
      <c r="B26" s="16">
        <v>1</v>
      </c>
      <c r="C26" s="30">
        <f>INDEX(Data!I3:I14,B26)</f>
        <v>0</v>
      </c>
      <c r="D26" s="30">
        <f t="shared" si="3"/>
        <v>0</v>
      </c>
      <c r="E26" s="16">
        <f t="shared" si="2"/>
        <v>0</v>
      </c>
      <c r="F26" s="16">
        <f>C26-(2*(C26-E26))</f>
        <v>0</v>
      </c>
      <c r="G26" s="30" t="s">
        <v>35</v>
      </c>
      <c r="H26" s="16">
        <v>1</v>
      </c>
      <c r="I26" s="16"/>
      <c r="J26" s="30">
        <v>2</v>
      </c>
      <c r="K26" s="30">
        <v>1</v>
      </c>
      <c r="L26" s="33">
        <f>(INDEX(Data!C3:C14,H26))*INDEX(Data!C25:C29,K26)</f>
        <v>0</v>
      </c>
      <c r="M26" s="16">
        <f>INDEX(Data!B17:B21,J26)</f>
        <v>1</v>
      </c>
      <c r="N26" s="11">
        <f>(H26-1)*INDEX(Data!$C$17:$C$21,J26)*INDEX(Data!$B$25:$B$29,K26)</f>
        <v>0</v>
      </c>
      <c r="P26" s="17" t="s">
        <v>40</v>
      </c>
      <c r="Q26" s="3"/>
      <c r="R26" s="3"/>
      <c r="S26" s="20">
        <f>S25*2</f>
        <v>0</v>
      </c>
    </row>
    <row r="27" spans="1:19" ht="16.5" customHeight="1">
      <c r="A27" s="10" t="s">
        <v>48</v>
      </c>
      <c r="B27" s="16">
        <v>1</v>
      </c>
      <c r="C27" s="30">
        <f>INDEX(Data!I3:I14,B27)</f>
        <v>0</v>
      </c>
      <c r="D27" s="30">
        <f t="shared" si="3"/>
        <v>0</v>
      </c>
      <c r="E27" s="16">
        <f t="shared" si="2"/>
        <v>0</v>
      </c>
      <c r="F27" s="16">
        <f>C27-(2*(C27-E27))</f>
        <v>0</v>
      </c>
      <c r="G27" s="30" t="s">
        <v>35</v>
      </c>
      <c r="H27" s="16">
        <v>1</v>
      </c>
      <c r="I27" s="16"/>
      <c r="J27" s="30">
        <v>2</v>
      </c>
      <c r="K27" s="30">
        <v>1</v>
      </c>
      <c r="L27" s="33">
        <f>(INDEX(Data!C3:C14,H27))*INDEX(Data!C25:C29,K27)</f>
        <v>0</v>
      </c>
      <c r="M27" s="16">
        <f>INDEX(Data!B17:B21,J27)</f>
        <v>1</v>
      </c>
      <c r="N27" s="11">
        <f>(H27-1)*INDEX(Data!$C$17:$C$21,J27)*INDEX(Data!$B$25:$B$29,K27)</f>
        <v>0</v>
      </c>
      <c r="P27" s="17" t="s">
        <v>42</v>
      </c>
      <c r="Q27" s="3"/>
      <c r="R27" s="3"/>
      <c r="S27" s="20">
        <f>S21-S25</f>
        <v>0</v>
      </c>
    </row>
    <row r="28" spans="1:19" ht="16.5" customHeight="1">
      <c r="A28" s="10" t="s">
        <v>48</v>
      </c>
      <c r="B28" s="16">
        <v>1</v>
      </c>
      <c r="C28" s="30">
        <f>INDEX(Data!$I$3:$I$14,B28)</f>
        <v>0</v>
      </c>
      <c r="D28" s="30">
        <f t="shared" si="3"/>
        <v>0</v>
      </c>
      <c r="E28" s="16">
        <f t="shared" si="2"/>
        <v>0</v>
      </c>
      <c r="F28" s="16">
        <f>C28-(2*(C28-E28))</f>
        <v>0</v>
      </c>
      <c r="G28" s="30" t="s">
        <v>35</v>
      </c>
      <c r="H28" s="16">
        <v>1</v>
      </c>
      <c r="I28" s="16"/>
      <c r="J28" s="30">
        <v>2</v>
      </c>
      <c r="K28" s="30">
        <v>1</v>
      </c>
      <c r="L28" s="33">
        <f>(INDEX(Data!C3:C14,H28))*INDEX(Data!C25:C29,K28)</f>
        <v>0</v>
      </c>
      <c r="M28" s="16">
        <f>INDEX(Data!B17:B21,J28)</f>
        <v>1</v>
      </c>
      <c r="N28" s="11">
        <f>(H28-1)*INDEX(Data!$C$17:$C$21,J28)*INDEX(Data!$B$25:$B$29,K28)</f>
        <v>0</v>
      </c>
      <c r="P28" s="17" t="s">
        <v>44</v>
      </c>
      <c r="Q28" s="3"/>
      <c r="R28" s="3"/>
      <c r="S28" s="20">
        <f>S26+S22</f>
        <v>0</v>
      </c>
    </row>
    <row r="29" spans="1:19" ht="16.5" customHeight="1">
      <c r="A29" s="10" t="s">
        <v>49</v>
      </c>
      <c r="B29" s="16">
        <v>1</v>
      </c>
      <c r="C29" s="30">
        <f>INDEX(Data!$I$3:$I$14,B29)</f>
        <v>0</v>
      </c>
      <c r="D29" s="30">
        <f t="shared" si="3"/>
        <v>0</v>
      </c>
      <c r="E29" s="16">
        <v>0</v>
      </c>
      <c r="F29" s="35">
        <f>C29</f>
        <v>0</v>
      </c>
      <c r="G29" s="36">
        <f>IF(B29&gt;1,2,0)</f>
        <v>0</v>
      </c>
      <c r="H29" s="16"/>
      <c r="I29" s="16"/>
      <c r="J29" s="30"/>
      <c r="K29" s="30"/>
      <c r="L29" s="33"/>
      <c r="M29" s="16"/>
      <c r="N29" s="11"/>
      <c r="P29" s="17"/>
      <c r="Q29" s="3"/>
      <c r="R29" s="3"/>
      <c r="S29" s="20"/>
    </row>
    <row r="30" spans="1:19" ht="16.5" customHeight="1">
      <c r="A30" s="10" t="s">
        <v>50</v>
      </c>
      <c r="B30" s="16">
        <v>1</v>
      </c>
      <c r="C30" s="30">
        <f>INDEX(Data!$B$3:$B$14,B30)</f>
        <v>0</v>
      </c>
      <c r="D30" s="30">
        <f t="shared" si="3"/>
        <v>0</v>
      </c>
      <c r="E30" s="16">
        <v>0</v>
      </c>
      <c r="F30" s="35">
        <f>C30</f>
        <v>0</v>
      </c>
      <c r="G30" s="30"/>
      <c r="H30" s="16"/>
      <c r="I30" s="16"/>
      <c r="J30" s="30"/>
      <c r="K30" s="30"/>
      <c r="L30" s="33"/>
      <c r="M30" s="16"/>
      <c r="N30" s="11"/>
      <c r="P30" s="17"/>
      <c r="Q30" s="3"/>
      <c r="R30" s="3"/>
      <c r="S30" s="20"/>
    </row>
    <row r="31" spans="1:19" ht="16.5" customHeight="1">
      <c r="A31" s="10"/>
      <c r="B31" s="16"/>
      <c r="C31" s="16" t="s">
        <v>651</v>
      </c>
      <c r="D31" s="100">
        <f>SUM(D15:D30)</f>
        <v>1</v>
      </c>
      <c r="E31" s="37" t="s">
        <v>52</v>
      </c>
      <c r="F31" s="16">
        <f>SUM(C15:C30)</f>
        <v>2</v>
      </c>
      <c r="G31" s="16"/>
      <c r="H31" s="16"/>
      <c r="I31" s="16"/>
      <c r="J31" s="16"/>
      <c r="K31" s="37" t="s">
        <v>652</v>
      </c>
      <c r="L31" s="16">
        <f>SUM(L15:L28)/2</f>
        <v>0</v>
      </c>
      <c r="M31" s="16"/>
      <c r="N31" s="11"/>
      <c r="P31" s="23" t="s">
        <v>51</v>
      </c>
      <c r="Q31" s="3"/>
      <c r="R31" s="3"/>
      <c r="S31" s="24"/>
    </row>
    <row r="32" spans="1:19" ht="16.5" customHeight="1">
      <c r="A32" s="25"/>
      <c r="B32" s="26"/>
      <c r="C32" s="26"/>
      <c r="D32" s="26"/>
      <c r="E32" s="38"/>
      <c r="F32" s="26"/>
      <c r="G32" s="26"/>
      <c r="H32" s="26"/>
      <c r="I32" s="26"/>
      <c r="J32" s="26"/>
      <c r="K32" s="38" t="s">
        <v>53</v>
      </c>
      <c r="L32" s="26">
        <f>SUM(N15:N28)</f>
        <v>0</v>
      </c>
      <c r="M32" s="26"/>
      <c r="N32" s="22"/>
      <c r="P32" s="17" t="s">
        <v>16</v>
      </c>
      <c r="Q32" s="3"/>
      <c r="R32" s="3"/>
      <c r="S32" s="20"/>
    </row>
    <row r="33" spans="16:19" ht="16.5" customHeight="1" thickBot="1">
      <c r="P33" s="17" t="s">
        <v>17</v>
      </c>
      <c r="Q33" s="3"/>
      <c r="R33" s="3"/>
      <c r="S33" s="20"/>
    </row>
    <row r="34" spans="1:19" ht="30" customHeight="1">
      <c r="A34" s="12"/>
      <c r="B34" s="13" t="s">
        <v>54</v>
      </c>
      <c r="C34" s="14">
        <f>SUM(O66,J36:J38,J41,J40,J41,J42,J44:J54,J55:J56,J59,J61,J63,J65,J69:J74,O66)</f>
        <v>0</v>
      </c>
      <c r="D34" s="14"/>
      <c r="E34" s="166" t="s">
        <v>55</v>
      </c>
      <c r="F34" s="166"/>
      <c r="G34" s="166"/>
      <c r="H34" s="166"/>
      <c r="I34" s="166"/>
      <c r="J34" s="166"/>
      <c r="K34" s="166"/>
      <c r="L34" s="172" t="s">
        <v>56</v>
      </c>
      <c r="M34" s="172"/>
      <c r="N34" s="39">
        <f>SUM(L36:L38,L40,L42,L44:L56,L59,L61,L63,L65,L69,L70,L71,L72,L73,L74)/2</f>
        <v>0</v>
      </c>
      <c r="P34" s="17" t="s">
        <v>21</v>
      </c>
      <c r="Q34" s="3"/>
      <c r="R34" s="3"/>
      <c r="S34" s="20"/>
    </row>
    <row r="35" spans="1:19" ht="16.5" customHeight="1">
      <c r="A35" s="10" t="s">
        <v>57</v>
      </c>
      <c r="B35" s="16"/>
      <c r="C35" s="16" t="s">
        <v>58</v>
      </c>
      <c r="D35" s="16"/>
      <c r="E35" s="16" t="s">
        <v>22</v>
      </c>
      <c r="F35" s="30"/>
      <c r="G35" s="16" t="s">
        <v>59</v>
      </c>
      <c r="H35" s="16"/>
      <c r="I35" s="16" t="s">
        <v>60</v>
      </c>
      <c r="J35" s="16" t="s">
        <v>24</v>
      </c>
      <c r="K35" s="16" t="s">
        <v>25</v>
      </c>
      <c r="L35" s="16" t="s">
        <v>26</v>
      </c>
      <c r="M35" s="16"/>
      <c r="N35" s="11"/>
      <c r="P35" s="17" t="s">
        <v>22</v>
      </c>
      <c r="Q35" s="3"/>
      <c r="R35" s="3"/>
      <c r="S35" s="20"/>
    </row>
    <row r="36" spans="1:19" ht="16.5" customHeight="1">
      <c r="A36" s="10" t="s">
        <v>61</v>
      </c>
      <c r="B36" s="16"/>
      <c r="C36" s="144">
        <v>1</v>
      </c>
      <c r="D36" s="102"/>
      <c r="E36" s="30">
        <v>0</v>
      </c>
      <c r="F36" s="30"/>
      <c r="G36" s="30">
        <f>1*C36</f>
        <v>1</v>
      </c>
      <c r="H36" s="30"/>
      <c r="I36" s="144">
        <v>0</v>
      </c>
      <c r="J36" s="30">
        <f>C36*(E36+(I36*0.5))</f>
        <v>0</v>
      </c>
      <c r="K36" s="30">
        <f>G36-I36</f>
        <v>1</v>
      </c>
      <c r="L36" s="30">
        <v>0</v>
      </c>
      <c r="M36" s="30"/>
      <c r="N36" s="40"/>
      <c r="P36" s="17" t="s">
        <v>33</v>
      </c>
      <c r="Q36" s="3"/>
      <c r="R36" s="3"/>
      <c r="S36" s="20"/>
    </row>
    <row r="37" spans="1:19" ht="16.5" customHeight="1">
      <c r="A37" s="10" t="s">
        <v>62</v>
      </c>
      <c r="B37" s="16"/>
      <c r="C37" s="144">
        <v>0</v>
      </c>
      <c r="D37" s="102"/>
      <c r="E37" s="30">
        <v>1</v>
      </c>
      <c r="F37" s="30"/>
      <c r="G37" s="30">
        <f>1*C37</f>
        <v>0</v>
      </c>
      <c r="H37" s="30"/>
      <c r="I37" s="144">
        <v>0</v>
      </c>
      <c r="J37" s="30">
        <f>C37*(E37+(I37*0.5))</f>
        <v>0</v>
      </c>
      <c r="K37" s="30">
        <f>G37-I37</f>
        <v>0</v>
      </c>
      <c r="L37" s="30">
        <v>0</v>
      </c>
      <c r="M37" s="30"/>
      <c r="N37" s="40"/>
      <c r="P37" s="17" t="s">
        <v>36</v>
      </c>
      <c r="Q37" s="3"/>
      <c r="R37" s="3"/>
      <c r="S37" s="20"/>
    </row>
    <row r="38" spans="1:19" ht="16.5" customHeight="1">
      <c r="A38" s="10" t="s">
        <v>63</v>
      </c>
      <c r="B38" s="16"/>
      <c r="C38" s="144">
        <v>0</v>
      </c>
      <c r="D38" s="102"/>
      <c r="E38" s="30">
        <v>2</v>
      </c>
      <c r="F38" s="30"/>
      <c r="G38" s="30">
        <f>1*C38</f>
        <v>0</v>
      </c>
      <c r="H38" s="30"/>
      <c r="I38" s="144">
        <v>0</v>
      </c>
      <c r="J38" s="30">
        <f>C38*(E38+(I38*0.5))</f>
        <v>0</v>
      </c>
      <c r="K38" s="30">
        <f>G38-I38</f>
        <v>0</v>
      </c>
      <c r="L38" s="30">
        <v>0</v>
      </c>
      <c r="M38" s="30"/>
      <c r="N38" s="40"/>
      <c r="P38" s="17" t="s">
        <v>38</v>
      </c>
      <c r="Q38" s="3"/>
      <c r="R38" s="3"/>
      <c r="S38" s="20"/>
    </row>
    <row r="39" spans="1:19" ht="16.5" customHeight="1">
      <c r="A39" s="29" t="s">
        <v>64</v>
      </c>
      <c r="B39" s="16"/>
      <c r="C39" s="30"/>
      <c r="D39" s="100"/>
      <c r="E39" s="30"/>
      <c r="F39" s="30"/>
      <c r="G39" s="30"/>
      <c r="H39" s="30"/>
      <c r="I39" s="30"/>
      <c r="J39" s="30"/>
      <c r="K39" s="30"/>
      <c r="L39" s="30"/>
      <c r="M39" s="30"/>
      <c r="N39" s="40"/>
      <c r="P39" s="17" t="s">
        <v>40</v>
      </c>
      <c r="Q39" s="3"/>
      <c r="R39" s="3"/>
      <c r="S39" s="20"/>
    </row>
    <row r="40" spans="1:19" ht="16.5" customHeight="1">
      <c r="A40" s="10">
        <v>1</v>
      </c>
      <c r="B40" s="16"/>
      <c r="C40" s="144">
        <v>1</v>
      </c>
      <c r="D40" s="102"/>
      <c r="E40" s="30">
        <f>INDEX(Data!B33:B44,A40)</f>
        <v>0</v>
      </c>
      <c r="F40" s="30"/>
      <c r="G40" s="30">
        <f>INDEX(Data!D33:D44,A40)</f>
        <v>0</v>
      </c>
      <c r="H40" s="30"/>
      <c r="I40" s="144">
        <v>0</v>
      </c>
      <c r="J40" s="30">
        <f>C40*(E40+(I40*0.5))</f>
        <v>0</v>
      </c>
      <c r="K40" s="30">
        <f>G40-I40</f>
        <v>0</v>
      </c>
      <c r="L40" s="30">
        <f>INDEX(Data!C33:C44,A40)</f>
        <v>0</v>
      </c>
      <c r="M40" s="30"/>
      <c r="N40" s="40"/>
      <c r="P40" s="17" t="s">
        <v>42</v>
      </c>
      <c r="Q40" s="3"/>
      <c r="R40" s="3"/>
      <c r="S40" s="20"/>
    </row>
    <row r="41" spans="1:19" ht="16.5" customHeight="1">
      <c r="A41" s="10"/>
      <c r="B41" s="37" t="s">
        <v>65</v>
      </c>
      <c r="C41" s="37">
        <f>INDEX(Data!E33:E44,A40)</f>
        <v>0</v>
      </c>
      <c r="D41" s="136"/>
      <c r="E41" s="41" t="s">
        <v>66</v>
      </c>
      <c r="F41" s="30"/>
      <c r="G41" s="30" t="s">
        <v>67</v>
      </c>
      <c r="H41" s="37"/>
      <c r="I41" s="37">
        <f>INDEX(Data!F33:F44,A40)</f>
        <v>0</v>
      </c>
      <c r="J41" s="41" t="s">
        <v>66</v>
      </c>
      <c r="K41" s="30"/>
      <c r="L41" s="30"/>
      <c r="M41" s="30"/>
      <c r="N41" s="40"/>
      <c r="P41" s="17" t="s">
        <v>44</v>
      </c>
      <c r="Q41" s="3"/>
      <c r="R41" s="3"/>
      <c r="S41" s="20"/>
    </row>
    <row r="42" spans="1:19" ht="16.5" customHeight="1">
      <c r="A42" s="29" t="s">
        <v>68</v>
      </c>
      <c r="B42" s="16"/>
      <c r="C42" s="30">
        <v>1</v>
      </c>
      <c r="D42" s="100"/>
      <c r="E42" s="42">
        <f>INDEX(Data!B45:B46,C42)</f>
        <v>0</v>
      </c>
      <c r="F42" s="30"/>
      <c r="G42" s="30">
        <f>E42</f>
        <v>0</v>
      </c>
      <c r="H42" s="30"/>
      <c r="I42" s="144">
        <v>0</v>
      </c>
      <c r="J42" s="30">
        <f>E42+(I42*0.5)</f>
        <v>0</v>
      </c>
      <c r="K42" s="30">
        <f>G42-I42</f>
        <v>0</v>
      </c>
      <c r="L42" s="30">
        <f>K42</f>
        <v>0</v>
      </c>
      <c r="M42" s="30"/>
      <c r="N42" s="40"/>
      <c r="P42" s="17" t="s">
        <v>69</v>
      </c>
      <c r="Q42" s="3"/>
      <c r="R42" s="3"/>
      <c r="S42" s="20"/>
    </row>
    <row r="43" spans="1:19" ht="16.5" customHeight="1">
      <c r="A43" s="10"/>
      <c r="B43" s="37" t="s">
        <v>65</v>
      </c>
      <c r="C43" s="37">
        <f>INDEX(Data!B45:B46,C42)</f>
        <v>0</v>
      </c>
      <c r="D43" s="136"/>
      <c r="E43" s="41" t="s">
        <v>66</v>
      </c>
      <c r="F43" s="30"/>
      <c r="G43" s="30" t="s">
        <v>67</v>
      </c>
      <c r="H43" s="37"/>
      <c r="I43" s="37">
        <f>INDEX(Data!F45:F46,C42)</f>
        <v>0</v>
      </c>
      <c r="J43" s="41" t="s">
        <v>66</v>
      </c>
      <c r="K43" s="30"/>
      <c r="L43" s="30"/>
      <c r="M43" s="30"/>
      <c r="N43" s="40"/>
      <c r="P43" s="17" t="s">
        <v>70</v>
      </c>
      <c r="Q43" s="3"/>
      <c r="R43" s="3"/>
      <c r="S43" s="20"/>
    </row>
    <row r="44" spans="1:19" ht="16.5" customHeight="1">
      <c r="A44" s="10">
        <v>1</v>
      </c>
      <c r="B44" s="16"/>
      <c r="C44" s="144">
        <v>0</v>
      </c>
      <c r="D44" s="102"/>
      <c r="E44" s="30">
        <f>INDEX(Data!C50:C74,A44)</f>
        <v>0</v>
      </c>
      <c r="F44" s="30"/>
      <c r="G44" s="30">
        <f>INDEX(Data!$D$50:$D$74,A44)</f>
        <v>0</v>
      </c>
      <c r="H44" s="30"/>
      <c r="I44" s="144">
        <v>0</v>
      </c>
      <c r="J44" s="30">
        <f aca="true" t="shared" si="4" ref="J44:J56">C44*(E44+(I44*0.5))</f>
        <v>0</v>
      </c>
      <c r="K44" s="30">
        <f aca="true" t="shared" si="5" ref="K44:K56">G44-I44</f>
        <v>0</v>
      </c>
      <c r="L44" s="30">
        <f>INDEX(Data!$E$50:$E$74,A44)</f>
        <v>0</v>
      </c>
      <c r="M44" s="30"/>
      <c r="N44" s="40"/>
      <c r="P44" s="17" t="s">
        <v>71</v>
      </c>
      <c r="Q44" s="3"/>
      <c r="R44" s="3"/>
      <c r="S44" s="20"/>
    </row>
    <row r="45" spans="1:19" ht="16.5" customHeight="1">
      <c r="A45" s="10">
        <v>1</v>
      </c>
      <c r="B45" s="16"/>
      <c r="C45" s="144">
        <v>0</v>
      </c>
      <c r="D45" s="102"/>
      <c r="E45" s="30">
        <f>INDEX(Data!$C$50:$C$74,A45)</f>
        <v>0</v>
      </c>
      <c r="F45" s="30"/>
      <c r="G45" s="30">
        <f>INDEX(Data!$D$50:$D$74,A45)</f>
        <v>0</v>
      </c>
      <c r="H45" s="30"/>
      <c r="I45" s="144">
        <v>0</v>
      </c>
      <c r="J45" s="30">
        <f t="shared" si="4"/>
        <v>0</v>
      </c>
      <c r="K45" s="30">
        <f t="shared" si="5"/>
        <v>0</v>
      </c>
      <c r="L45" s="30">
        <f>INDEX(Data!$E$50:$E$74,A45)</f>
        <v>0</v>
      </c>
      <c r="M45" s="30"/>
      <c r="N45" s="40"/>
      <c r="P45" s="23" t="s">
        <v>72</v>
      </c>
      <c r="Q45" s="3"/>
      <c r="R45" s="3"/>
      <c r="S45" s="24"/>
    </row>
    <row r="46" spans="1:19" ht="16.5" customHeight="1">
      <c r="A46" s="10">
        <v>1</v>
      </c>
      <c r="B46" s="16"/>
      <c r="C46" s="144">
        <v>0</v>
      </c>
      <c r="D46" s="102"/>
      <c r="E46" s="30">
        <f>INDEX(Data!$C$50:$C$74,A46)</f>
        <v>0</v>
      </c>
      <c r="F46" s="30"/>
      <c r="G46" s="30">
        <f>INDEX(Data!$D$50:$D$74,A46)</f>
        <v>0</v>
      </c>
      <c r="H46" s="30"/>
      <c r="I46" s="144">
        <v>0</v>
      </c>
      <c r="J46" s="30">
        <f t="shared" si="4"/>
        <v>0</v>
      </c>
      <c r="K46" s="30">
        <f t="shared" si="5"/>
        <v>0</v>
      </c>
      <c r="L46" s="30">
        <f>INDEX(Data!$E$50:$E$74,A46)</f>
        <v>0</v>
      </c>
      <c r="M46" s="30"/>
      <c r="N46" s="40"/>
      <c r="P46" s="17" t="s">
        <v>73</v>
      </c>
      <c r="Q46" s="3"/>
      <c r="R46" s="3"/>
      <c r="S46" s="20">
        <f>S43+S28+S19+S28</f>
        <v>0</v>
      </c>
    </row>
    <row r="47" spans="1:19" ht="16.5" customHeight="1">
      <c r="A47" s="10">
        <v>1</v>
      </c>
      <c r="B47" s="16"/>
      <c r="C47" s="144">
        <v>0</v>
      </c>
      <c r="D47" s="102"/>
      <c r="E47" s="30">
        <f>INDEX(Data!$C$50:$C$74,A47)</f>
        <v>0</v>
      </c>
      <c r="F47" s="30"/>
      <c r="G47" s="30">
        <f>INDEX(Data!$D$50:$D$74,A47)</f>
        <v>0</v>
      </c>
      <c r="H47" s="30"/>
      <c r="I47" s="144">
        <v>0</v>
      </c>
      <c r="J47" s="30">
        <f t="shared" si="4"/>
        <v>0</v>
      </c>
      <c r="K47" s="30">
        <f t="shared" si="5"/>
        <v>0</v>
      </c>
      <c r="L47" s="30">
        <f>INDEX(Data!$E$50:$E$74,A47)</f>
        <v>0</v>
      </c>
      <c r="M47" s="30"/>
      <c r="N47" s="40"/>
      <c r="P47" s="17" t="s">
        <v>74</v>
      </c>
      <c r="Q47" s="3"/>
      <c r="R47" s="3"/>
      <c r="S47" s="20">
        <f>S44+S27+S18+S27</f>
        <v>1</v>
      </c>
    </row>
    <row r="48" spans="1:19" ht="16.5" customHeight="1">
      <c r="A48" s="10">
        <v>1</v>
      </c>
      <c r="B48" s="16"/>
      <c r="C48" s="144">
        <v>0</v>
      </c>
      <c r="D48" s="102"/>
      <c r="E48" s="30">
        <f>INDEX(Data!$C$50:$C$74,A48)</f>
        <v>0</v>
      </c>
      <c r="F48" s="30"/>
      <c r="G48" s="30">
        <f>INDEX(Data!$D$50:$D$74,A48)</f>
        <v>0</v>
      </c>
      <c r="H48" s="30"/>
      <c r="I48" s="144">
        <v>0</v>
      </c>
      <c r="J48" s="30">
        <f t="shared" si="4"/>
        <v>0</v>
      </c>
      <c r="K48" s="30">
        <f t="shared" si="5"/>
        <v>0</v>
      </c>
      <c r="L48" s="30">
        <f>INDEX(Data!$E$50:$E$74,A48)</f>
        <v>0</v>
      </c>
      <c r="M48" s="30"/>
      <c r="N48" s="40"/>
      <c r="P48" s="23" t="s">
        <v>75</v>
      </c>
      <c r="Q48" s="3"/>
      <c r="R48" s="3"/>
      <c r="S48" s="24"/>
    </row>
    <row r="49" spans="1:19" ht="16.5" customHeight="1">
      <c r="A49" s="10">
        <v>1</v>
      </c>
      <c r="B49" s="16"/>
      <c r="C49" s="144">
        <v>0</v>
      </c>
      <c r="D49" s="102"/>
      <c r="E49" s="30">
        <f>INDEX(Data!$C$50:$C$74,A49)</f>
        <v>0</v>
      </c>
      <c r="F49" s="30"/>
      <c r="G49" s="30">
        <f>INDEX(Data!$D$50:$D$74,A49)</f>
        <v>0</v>
      </c>
      <c r="H49" s="30"/>
      <c r="I49" s="144">
        <v>0</v>
      </c>
      <c r="J49" s="30">
        <f t="shared" si="4"/>
        <v>0</v>
      </c>
      <c r="K49" s="30">
        <f t="shared" si="5"/>
        <v>0</v>
      </c>
      <c r="L49" s="30">
        <f>INDEX(Data!$E$50:$E$74,A49)</f>
        <v>0</v>
      </c>
      <c r="M49" s="30"/>
      <c r="N49" s="40"/>
      <c r="P49" s="17" t="s">
        <v>76</v>
      </c>
      <c r="Q49" s="3"/>
      <c r="R49" s="3"/>
      <c r="S49" s="20">
        <v>1</v>
      </c>
    </row>
    <row r="50" spans="1:19" ht="16.5" customHeight="1">
      <c r="A50" s="10">
        <v>1</v>
      </c>
      <c r="B50" s="16"/>
      <c r="C50" s="144">
        <v>0</v>
      </c>
      <c r="D50" s="102"/>
      <c r="E50" s="30">
        <f>INDEX(Data!$C$50:$C$74,A50)</f>
        <v>0</v>
      </c>
      <c r="F50" s="30"/>
      <c r="G50" s="30">
        <f>INDEX(Data!$D$50:$D$74,A50)</f>
        <v>0</v>
      </c>
      <c r="H50" s="30"/>
      <c r="I50" s="144">
        <v>0</v>
      </c>
      <c r="J50" s="30">
        <f t="shared" si="4"/>
        <v>0</v>
      </c>
      <c r="K50" s="30">
        <f t="shared" si="5"/>
        <v>0</v>
      </c>
      <c r="L50" s="30">
        <f>INDEX(Data!$E$50:$E$74,A50)</f>
        <v>0</v>
      </c>
      <c r="M50" s="30"/>
      <c r="N50" s="40"/>
      <c r="P50" s="17" t="s">
        <v>77</v>
      </c>
      <c r="Q50" s="3"/>
      <c r="R50" s="3"/>
      <c r="S50" s="20">
        <v>1</v>
      </c>
    </row>
    <row r="51" spans="1:19" ht="16.5" customHeight="1">
      <c r="A51" s="10">
        <v>1</v>
      </c>
      <c r="B51" s="16"/>
      <c r="C51" s="144">
        <v>0</v>
      </c>
      <c r="D51" s="102"/>
      <c r="E51" s="30">
        <f>INDEX(Data!$C$50:$C$74,A51)</f>
        <v>0</v>
      </c>
      <c r="F51" s="30"/>
      <c r="G51" s="30">
        <f>INDEX(Data!$D$50:$D$74,A51)</f>
        <v>0</v>
      </c>
      <c r="H51" s="30"/>
      <c r="I51" s="144">
        <v>0</v>
      </c>
      <c r="J51" s="30">
        <f t="shared" si="4"/>
        <v>0</v>
      </c>
      <c r="K51" s="30">
        <f t="shared" si="5"/>
        <v>0</v>
      </c>
      <c r="L51" s="30">
        <f>INDEX(Data!$E$50:$E$74,A51)</f>
        <v>0</v>
      </c>
      <c r="M51" s="30"/>
      <c r="N51" s="40"/>
      <c r="P51" s="17" t="s">
        <v>78</v>
      </c>
      <c r="Q51" s="3"/>
      <c r="R51" s="3"/>
      <c r="S51" s="20">
        <v>1</v>
      </c>
    </row>
    <row r="52" spans="1:19" ht="16.5" customHeight="1">
      <c r="A52" s="10">
        <v>1</v>
      </c>
      <c r="B52" s="16"/>
      <c r="C52" s="144">
        <v>0</v>
      </c>
      <c r="D52" s="102"/>
      <c r="E52" s="30">
        <f>INDEX(Data!$C$50:$C$74,A52)</f>
        <v>0</v>
      </c>
      <c r="F52" s="30"/>
      <c r="G52" s="30">
        <f>INDEX(Data!$D$50:$D$74,A52)</f>
        <v>0</v>
      </c>
      <c r="H52" s="30"/>
      <c r="I52" s="144">
        <v>0</v>
      </c>
      <c r="J52" s="30">
        <f t="shared" si="4"/>
        <v>0</v>
      </c>
      <c r="K52" s="30">
        <f t="shared" si="5"/>
        <v>0</v>
      </c>
      <c r="L52" s="30">
        <f>INDEX(Data!$E$50:$E$74,A52)</f>
        <v>0</v>
      </c>
      <c r="M52" s="30"/>
      <c r="N52" s="40"/>
      <c r="P52" s="17" t="s">
        <v>79</v>
      </c>
      <c r="Q52" s="3"/>
      <c r="R52" s="3"/>
      <c r="S52" s="20">
        <f>S46*S50</f>
        <v>0</v>
      </c>
    </row>
    <row r="53" spans="1:19" ht="16.5" customHeight="1">
      <c r="A53" s="10">
        <v>1</v>
      </c>
      <c r="B53" s="16"/>
      <c r="C53" s="144">
        <v>0</v>
      </c>
      <c r="D53" s="102"/>
      <c r="E53" s="30">
        <f>INDEX(Data!$C$50:$C$74,A53)</f>
        <v>0</v>
      </c>
      <c r="F53" s="30"/>
      <c r="G53" s="30">
        <f>INDEX(Data!$D$50:$D$74,A53)</f>
        <v>0</v>
      </c>
      <c r="H53" s="30"/>
      <c r="I53" s="144">
        <v>0</v>
      </c>
      <c r="J53" s="30">
        <f t="shared" si="4"/>
        <v>0</v>
      </c>
      <c r="K53" s="30">
        <f t="shared" si="5"/>
        <v>0</v>
      </c>
      <c r="L53" s="30">
        <f>INDEX(Data!$E$50:$E$74,A53)</f>
        <v>0</v>
      </c>
      <c r="M53" s="30"/>
      <c r="N53" s="40"/>
      <c r="P53" s="43" t="s">
        <v>80</v>
      </c>
      <c r="Q53" s="44"/>
      <c r="R53" s="44"/>
      <c r="S53" s="45">
        <f>S47*S51</f>
        <v>1</v>
      </c>
    </row>
    <row r="54" spans="1:14" ht="16.5" customHeight="1">
      <c r="A54" s="10">
        <v>1</v>
      </c>
      <c r="B54" s="16"/>
      <c r="C54" s="144">
        <v>0</v>
      </c>
      <c r="D54" s="102"/>
      <c r="E54" s="30">
        <f>INDEX(Data!$C$50:$C$74,A54)</f>
        <v>0</v>
      </c>
      <c r="F54" s="30"/>
      <c r="G54" s="30">
        <f>INDEX(Data!$D$50:$D$74,A54)</f>
        <v>0</v>
      </c>
      <c r="H54" s="30"/>
      <c r="I54" s="144">
        <v>0</v>
      </c>
      <c r="J54" s="30">
        <f t="shared" si="4"/>
        <v>0</v>
      </c>
      <c r="K54" s="30">
        <f t="shared" si="5"/>
        <v>0</v>
      </c>
      <c r="L54" s="30">
        <f>INDEX(Data!$E$50:$E$74,A54)</f>
        <v>0</v>
      </c>
      <c r="M54" s="30"/>
      <c r="N54" s="40"/>
    </row>
    <row r="55" spans="1:19" ht="16.5" customHeight="1">
      <c r="A55" s="10">
        <v>1</v>
      </c>
      <c r="B55" s="16"/>
      <c r="C55" s="144">
        <v>0</v>
      </c>
      <c r="D55" s="102"/>
      <c r="E55" s="30">
        <f>INDEX(Data!$C$50:$C$74,A55)</f>
        <v>0</v>
      </c>
      <c r="F55" s="16"/>
      <c r="G55" s="30">
        <f>INDEX(Data!$D$50:$D$74,A55)</f>
        <v>0</v>
      </c>
      <c r="H55" s="16"/>
      <c r="I55" s="144">
        <v>0</v>
      </c>
      <c r="J55" s="30">
        <f t="shared" si="4"/>
        <v>0</v>
      </c>
      <c r="K55" s="30">
        <f t="shared" si="5"/>
        <v>0</v>
      </c>
      <c r="L55" s="30">
        <f>INDEX(Data!$E$50:$E$74,A55)</f>
        <v>0</v>
      </c>
      <c r="M55" s="16"/>
      <c r="N55" s="11"/>
      <c r="P55" s="171" t="s">
        <v>81</v>
      </c>
      <c r="Q55" s="171"/>
      <c r="R55" s="171"/>
      <c r="S55" s="171"/>
    </row>
    <row r="56" spans="1:19" ht="16.5" customHeight="1">
      <c r="A56" s="10">
        <v>1</v>
      </c>
      <c r="B56" s="16"/>
      <c r="C56" s="144">
        <v>0</v>
      </c>
      <c r="D56" s="102"/>
      <c r="E56" s="30">
        <f>INDEX(Data!$C$50:$C$74,A56)</f>
        <v>0</v>
      </c>
      <c r="F56" s="16"/>
      <c r="G56" s="30">
        <f>INDEX(Data!$D$50:$D$74,A56)</f>
        <v>0</v>
      </c>
      <c r="H56" s="16"/>
      <c r="I56" s="144">
        <v>0</v>
      </c>
      <c r="J56" s="30">
        <f t="shared" si="4"/>
        <v>0</v>
      </c>
      <c r="K56" s="30">
        <f t="shared" si="5"/>
        <v>0</v>
      </c>
      <c r="L56" s="30">
        <f>INDEX(Data!$E$50:$E$74,A56)</f>
        <v>0</v>
      </c>
      <c r="M56" s="16"/>
      <c r="N56" s="11"/>
      <c r="P56" s="10"/>
      <c r="Q56" s="16"/>
      <c r="R56" s="16" t="s">
        <v>82</v>
      </c>
      <c r="S56" s="11" t="s">
        <v>83</v>
      </c>
    </row>
    <row r="57" spans="1:19" ht="16.5" customHeight="1">
      <c r="A57" s="29" t="s">
        <v>84</v>
      </c>
      <c r="B57" s="16"/>
      <c r="C57" s="30"/>
      <c r="D57" s="30"/>
      <c r="E57" s="30"/>
      <c r="F57" s="16"/>
      <c r="G57" s="30"/>
      <c r="H57" s="16"/>
      <c r="I57" s="30"/>
      <c r="J57" s="30"/>
      <c r="K57" s="30"/>
      <c r="L57" s="30"/>
      <c r="M57" s="16"/>
      <c r="N57" s="11"/>
      <c r="P57" s="46" t="s">
        <v>85</v>
      </c>
      <c r="Q57" s="16"/>
      <c r="R57" s="16">
        <f>IF(H136-1,IF(C136&lt;2,-1,0),0)</f>
        <v>0</v>
      </c>
      <c r="S57" s="11">
        <f>J136</f>
        <v>0</v>
      </c>
    </row>
    <row r="58" spans="1:19" ht="16.5" customHeight="1">
      <c r="A58" s="10" t="s">
        <v>86</v>
      </c>
      <c r="B58" s="16"/>
      <c r="C58" s="37" t="s">
        <v>87</v>
      </c>
      <c r="D58" s="37"/>
      <c r="E58" s="16">
        <v>1</v>
      </c>
      <c r="F58" s="16"/>
      <c r="G58" s="37" t="s">
        <v>88</v>
      </c>
      <c r="H58" s="16">
        <v>10</v>
      </c>
      <c r="I58" s="16"/>
      <c r="J58" s="37" t="s">
        <v>89</v>
      </c>
      <c r="K58" s="41">
        <v>11</v>
      </c>
      <c r="L58" s="16"/>
      <c r="M58" s="16"/>
      <c r="N58" s="11"/>
      <c r="P58" s="46" t="s">
        <v>90</v>
      </c>
      <c r="Q58" s="16"/>
      <c r="R58" s="16">
        <f>IF(C140=1,-2,0)</f>
        <v>0</v>
      </c>
      <c r="S58" s="11">
        <f>INDEX(Data!D363:D367,C140)</f>
        <v>-1</v>
      </c>
    </row>
    <row r="59" spans="1:19" ht="16.5" customHeight="1">
      <c r="A59" s="10"/>
      <c r="B59" s="16"/>
      <c r="C59" s="16"/>
      <c r="D59" s="16"/>
      <c r="E59" s="47">
        <f>INDEX(Data!$J$52:$J$62,E58)</f>
        <v>0</v>
      </c>
      <c r="F59" s="48"/>
      <c r="G59" s="48">
        <f>J59</f>
        <v>0</v>
      </c>
      <c r="H59" s="48"/>
      <c r="I59" s="48"/>
      <c r="J59" s="47">
        <f>E59*INDEX(Data!$L$53:$L$63,H58)*INDEX(Data!$N$53:$N$63,K58)</f>
        <v>0</v>
      </c>
      <c r="K59" s="47">
        <f>G59-I59</f>
        <v>0</v>
      </c>
      <c r="L59" s="48">
        <v>0</v>
      </c>
      <c r="M59" s="16"/>
      <c r="N59" s="11"/>
      <c r="P59" s="46" t="s">
        <v>91</v>
      </c>
      <c r="Q59" s="16"/>
      <c r="R59" s="16">
        <v>0</v>
      </c>
      <c r="S59" s="11">
        <f>INDEX(Data!E363:E363,A156)</f>
        <v>1</v>
      </c>
    </row>
    <row r="60" spans="1:19" ht="16.5" customHeight="1">
      <c r="A60" s="10" t="s">
        <v>92</v>
      </c>
      <c r="B60" s="16"/>
      <c r="C60" s="37" t="s">
        <v>87</v>
      </c>
      <c r="D60" s="37"/>
      <c r="E60" s="16">
        <v>1</v>
      </c>
      <c r="F60" s="16"/>
      <c r="G60" s="37" t="s">
        <v>88</v>
      </c>
      <c r="H60" s="16">
        <v>10</v>
      </c>
      <c r="I60" s="16"/>
      <c r="J60" s="37" t="s">
        <v>89</v>
      </c>
      <c r="K60" s="41">
        <v>11</v>
      </c>
      <c r="L60" s="16"/>
      <c r="M60" s="16"/>
      <c r="N60" s="11"/>
      <c r="P60" s="49" t="s">
        <v>93</v>
      </c>
      <c r="Q60" s="26"/>
      <c r="R60" s="26">
        <v>0</v>
      </c>
      <c r="S60" s="22">
        <f>IF(A175=1,1.67,1)</f>
        <v>1.67</v>
      </c>
    </row>
    <row r="61" spans="1:14" ht="16.5" customHeight="1">
      <c r="A61" s="10"/>
      <c r="B61" s="16"/>
      <c r="C61" s="16"/>
      <c r="D61" s="16"/>
      <c r="E61" s="47">
        <f>INDEX(Data!$J$52:$J$62,E60)</f>
        <v>0</v>
      </c>
      <c r="F61" s="48"/>
      <c r="G61" s="48">
        <f>J61</f>
        <v>0</v>
      </c>
      <c r="H61" s="48"/>
      <c r="I61" s="48"/>
      <c r="J61" s="47">
        <f>E61*INDEX(Data!$L$53:$L$63,H60)*INDEX(Data!$N$53:$N$63,K60)</f>
        <v>0</v>
      </c>
      <c r="K61" s="47">
        <f>G61-I61</f>
        <v>0</v>
      </c>
      <c r="L61" s="48">
        <v>0</v>
      </c>
      <c r="M61" s="16"/>
      <c r="N61" s="11"/>
    </row>
    <row r="62" spans="1:17" ht="16.5" customHeight="1">
      <c r="A62" s="10" t="s">
        <v>94</v>
      </c>
      <c r="B62" s="16"/>
      <c r="C62" s="37" t="s">
        <v>87</v>
      </c>
      <c r="D62" s="37"/>
      <c r="E62" s="16">
        <v>1</v>
      </c>
      <c r="F62" s="16"/>
      <c r="G62" s="37" t="s">
        <v>88</v>
      </c>
      <c r="H62" s="16">
        <v>10</v>
      </c>
      <c r="I62" s="16"/>
      <c r="J62" s="37" t="s">
        <v>89</v>
      </c>
      <c r="K62" s="41">
        <v>11</v>
      </c>
      <c r="L62" s="16"/>
      <c r="M62" s="16"/>
      <c r="N62" s="11"/>
      <c r="P62" s="50" t="s">
        <v>95</v>
      </c>
      <c r="Q62" s="51">
        <f>SUM(R57:R60)</f>
        <v>0</v>
      </c>
    </row>
    <row r="63" spans="1:17" ht="16.5" customHeight="1">
      <c r="A63" s="10"/>
      <c r="B63" s="16"/>
      <c r="C63" s="16"/>
      <c r="D63" s="16"/>
      <c r="E63" s="47">
        <f>INDEX(Data!$J$52:$J$62,E62)</f>
        <v>0</v>
      </c>
      <c r="F63" s="48"/>
      <c r="G63" s="48">
        <f>J63</f>
        <v>0</v>
      </c>
      <c r="H63" s="48"/>
      <c r="I63" s="48"/>
      <c r="J63" s="47">
        <f>E63*INDEX(Data!$L$53:$L$63,H62)*INDEX(Data!$N$53:$N$63,K62)</f>
        <v>0</v>
      </c>
      <c r="K63" s="47">
        <f>G63-I63</f>
        <v>0</v>
      </c>
      <c r="L63" s="48">
        <v>0</v>
      </c>
      <c r="M63" s="16"/>
      <c r="N63" s="11"/>
      <c r="P63" s="50" t="s">
        <v>96</v>
      </c>
      <c r="Q63" s="51">
        <f>ROUNDDOWN(SUM(S57*S58*S59*S60),0)</f>
        <v>0</v>
      </c>
    </row>
    <row r="64" spans="1:14" ht="16.5" customHeight="1">
      <c r="A64" s="10" t="s">
        <v>97</v>
      </c>
      <c r="B64" s="16"/>
      <c r="C64" s="37" t="s">
        <v>87</v>
      </c>
      <c r="D64" s="37"/>
      <c r="E64" s="16">
        <v>1</v>
      </c>
      <c r="F64" s="16"/>
      <c r="G64" s="37" t="s">
        <v>88</v>
      </c>
      <c r="H64" s="16">
        <v>10</v>
      </c>
      <c r="I64" s="16"/>
      <c r="J64" s="37" t="s">
        <v>89</v>
      </c>
      <c r="K64" s="41">
        <v>11</v>
      </c>
      <c r="L64" s="16"/>
      <c r="M64" s="16"/>
      <c r="N64" s="11"/>
    </row>
    <row r="65" spans="1:14" ht="16.5" customHeight="1">
      <c r="A65" s="10"/>
      <c r="B65" s="16"/>
      <c r="C65" s="16"/>
      <c r="D65" s="16"/>
      <c r="E65" s="47">
        <f>INDEX(Data!$J$52:$J$62,E64)</f>
        <v>0</v>
      </c>
      <c r="F65" s="48"/>
      <c r="G65" s="48">
        <f>J65</f>
        <v>0</v>
      </c>
      <c r="H65" s="48"/>
      <c r="I65" s="48"/>
      <c r="J65" s="47">
        <f>E65*INDEX(Data!$L$53:$L$63,H64)*INDEX(Data!$N$53:$N$63,K64)</f>
        <v>0</v>
      </c>
      <c r="K65" s="47">
        <f>G65-I65</f>
        <v>0</v>
      </c>
      <c r="L65" s="48">
        <v>0</v>
      </c>
      <c r="M65" s="16"/>
      <c r="N65" s="11"/>
    </row>
    <row r="66" spans="1:14" ht="16.5" customHeight="1">
      <c r="A66" s="29" t="s">
        <v>98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1"/>
    </row>
    <row r="67" spans="1:14" ht="16.5" customHeight="1">
      <c r="A67" s="10" t="s">
        <v>99</v>
      </c>
      <c r="B67" s="16">
        <v>1</v>
      </c>
      <c r="C67" s="16"/>
      <c r="D67" s="16"/>
      <c r="E67" s="37" t="s">
        <v>100</v>
      </c>
      <c r="F67" s="16">
        <f>INDEX(Data!J67:J78,B67)</f>
        <v>0</v>
      </c>
      <c r="G67" s="16"/>
      <c r="H67" s="16"/>
      <c r="I67" s="37" t="s">
        <v>101</v>
      </c>
      <c r="J67" s="41">
        <v>1</v>
      </c>
      <c r="K67" s="37" t="s">
        <v>102</v>
      </c>
      <c r="L67" s="16">
        <v>1</v>
      </c>
      <c r="M67" s="52">
        <f>L67-1</f>
        <v>0</v>
      </c>
      <c r="N67" s="53">
        <f>IF(M67,0.6,1)</f>
        <v>1</v>
      </c>
    </row>
    <row r="68" spans="1:14" ht="16.5" customHeight="1">
      <c r="A68" s="10"/>
      <c r="B68" s="16"/>
      <c r="C68" s="16"/>
      <c r="D68" s="16"/>
      <c r="E68" s="16">
        <f>INDEX(Data!K67:K78,B67)*INDEX(Data!M67:M75,J67)*N67</f>
        <v>0</v>
      </c>
      <c r="F68" s="16"/>
      <c r="G68" s="16"/>
      <c r="H68" s="16"/>
      <c r="I68" s="16"/>
      <c r="J68" s="16"/>
      <c r="K68" s="16"/>
      <c r="L68" s="16"/>
      <c r="M68" s="16"/>
      <c r="N68" s="11"/>
    </row>
    <row r="69" spans="1:14" ht="16.5" customHeight="1">
      <c r="A69" s="10" t="s">
        <v>103</v>
      </c>
      <c r="B69" s="37"/>
      <c r="C69" s="156">
        <v>0</v>
      </c>
      <c r="D69" s="30"/>
      <c r="E69" s="16">
        <f>C69</f>
        <v>0</v>
      </c>
      <c r="F69" s="52">
        <f>C69-1</f>
        <v>-1</v>
      </c>
      <c r="G69" s="16">
        <v>0</v>
      </c>
      <c r="H69" s="16"/>
      <c r="I69" s="35">
        <v>0</v>
      </c>
      <c r="J69" s="16">
        <f>E69</f>
        <v>0</v>
      </c>
      <c r="K69" s="16">
        <v>0</v>
      </c>
      <c r="L69" s="35">
        <v>0</v>
      </c>
      <c r="M69" s="16"/>
      <c r="N69" s="11"/>
    </row>
    <row r="70" spans="1:14" ht="16.5" customHeight="1">
      <c r="A70" s="10" t="s">
        <v>104</v>
      </c>
      <c r="B70" s="16"/>
      <c r="C70" s="16">
        <v>1</v>
      </c>
      <c r="D70" s="16"/>
      <c r="E70" s="16">
        <f>IF(C70=2,INT(0.5*(S53/10)),0)</f>
        <v>0</v>
      </c>
      <c r="F70" s="52"/>
      <c r="G70" s="16">
        <v>0</v>
      </c>
      <c r="H70" s="16"/>
      <c r="I70" s="35">
        <v>0</v>
      </c>
      <c r="J70" s="16">
        <f>E70</f>
        <v>0</v>
      </c>
      <c r="K70" s="16">
        <v>0</v>
      </c>
      <c r="L70" s="35">
        <v>0</v>
      </c>
      <c r="M70" s="16"/>
      <c r="N70" s="11"/>
    </row>
    <row r="71" spans="1:14" ht="16.5" customHeight="1">
      <c r="A71" s="10" t="s">
        <v>105</v>
      </c>
      <c r="B71" s="16"/>
      <c r="C71" s="16">
        <v>1</v>
      </c>
      <c r="D71" s="16"/>
      <c r="E71" s="16">
        <f>IF(C70=2,INT(0.5*(S53/10)),0)</f>
        <v>0</v>
      </c>
      <c r="F71" s="52"/>
      <c r="G71" s="16">
        <v>0</v>
      </c>
      <c r="H71" s="16"/>
      <c r="I71" s="35">
        <v>0</v>
      </c>
      <c r="J71" s="16">
        <f>E71</f>
        <v>0</v>
      </c>
      <c r="K71" s="16">
        <v>0</v>
      </c>
      <c r="L71" s="35">
        <v>0</v>
      </c>
      <c r="M71" s="16"/>
      <c r="N71" s="11"/>
    </row>
    <row r="72" spans="1:14" ht="16.5" customHeight="1">
      <c r="A72" s="10" t="s">
        <v>106</v>
      </c>
      <c r="B72" s="16"/>
      <c r="C72" s="16">
        <v>1</v>
      </c>
      <c r="D72" s="16"/>
      <c r="E72" s="16">
        <f>INDEX(Data!B83:B86,C72)</f>
        <v>0</v>
      </c>
      <c r="F72" s="16"/>
      <c r="G72" s="16">
        <f>IF(E72,1,0)</f>
        <v>0</v>
      </c>
      <c r="H72" s="16"/>
      <c r="I72" s="145">
        <v>0</v>
      </c>
      <c r="J72" s="16">
        <f>E72+(I72*2)</f>
        <v>0</v>
      </c>
      <c r="K72" s="16">
        <f>G72-I72</f>
        <v>0</v>
      </c>
      <c r="L72" s="16">
        <v>0</v>
      </c>
      <c r="M72" s="16"/>
      <c r="N72" s="11"/>
    </row>
    <row r="73" spans="1:14" ht="16.5" customHeight="1">
      <c r="A73" s="10" t="s">
        <v>107</v>
      </c>
      <c r="B73" s="16"/>
      <c r="C73" s="16">
        <v>1</v>
      </c>
      <c r="D73" s="16"/>
      <c r="E73" s="16">
        <f>INDEX(Data!B83:B86,C73)</f>
        <v>0</v>
      </c>
      <c r="F73" s="16"/>
      <c r="G73" s="16">
        <f>IF(E73,1,0)</f>
        <v>0</v>
      </c>
      <c r="H73" s="16"/>
      <c r="I73" s="145">
        <v>0</v>
      </c>
      <c r="J73" s="16">
        <f>E72+(I72*2)</f>
        <v>0</v>
      </c>
      <c r="K73" s="16">
        <f>G73-I73</f>
        <v>0</v>
      </c>
      <c r="L73" s="16">
        <v>0</v>
      </c>
      <c r="M73" s="16"/>
      <c r="N73" s="11"/>
    </row>
    <row r="74" spans="1:14" ht="18" customHeight="1" thickBot="1">
      <c r="A74" s="25" t="s">
        <v>108</v>
      </c>
      <c r="B74" s="26"/>
      <c r="C74" s="26">
        <v>1</v>
      </c>
      <c r="D74" s="26"/>
      <c r="E74" s="26">
        <f>INDEX(Data!D83:D86,C74)</f>
        <v>0</v>
      </c>
      <c r="F74" s="26"/>
      <c r="G74" s="26">
        <f>IF(E74,1,0)</f>
        <v>0</v>
      </c>
      <c r="H74" s="26"/>
      <c r="I74" s="146">
        <v>0</v>
      </c>
      <c r="J74" s="26">
        <f>E72+(I72*2)</f>
        <v>0</v>
      </c>
      <c r="K74" s="26">
        <f>G74-I74</f>
        <v>0</v>
      </c>
      <c r="L74" s="26">
        <v>0</v>
      </c>
      <c r="M74" s="26"/>
      <c r="N74" s="22"/>
    </row>
    <row r="75" ht="16.5" customHeight="1" thickBot="1"/>
    <row r="76" spans="1:14" ht="25.5" customHeight="1">
      <c r="A76" s="12"/>
      <c r="B76" s="13" t="s">
        <v>109</v>
      </c>
      <c r="C76" s="14">
        <f>SUM(M78,M81,M83:M86,M89:M93)</f>
        <v>0</v>
      </c>
      <c r="D76" s="14"/>
      <c r="E76" s="166" t="s">
        <v>110</v>
      </c>
      <c r="F76" s="166"/>
      <c r="G76" s="166"/>
      <c r="H76" s="166"/>
      <c r="I76" s="166"/>
      <c r="J76" s="166"/>
      <c r="K76" s="166"/>
      <c r="L76" s="172" t="s">
        <v>111</v>
      </c>
      <c r="M76" s="172"/>
      <c r="N76" s="39">
        <f>SUM(F83:F86,F89:F93)</f>
        <v>0</v>
      </c>
    </row>
    <row r="77" spans="1:14" ht="16.5" customHeight="1">
      <c r="A77" s="29" t="s">
        <v>112</v>
      </c>
      <c r="B77" s="37" t="s">
        <v>113</v>
      </c>
      <c r="C77" s="16">
        <v>1</v>
      </c>
      <c r="D77" s="16"/>
      <c r="E77" s="16"/>
      <c r="F77" s="16" t="s">
        <v>114</v>
      </c>
      <c r="G77" s="16" t="s">
        <v>59</v>
      </c>
      <c r="H77" s="16"/>
      <c r="I77" s="37" t="s">
        <v>22</v>
      </c>
      <c r="J77" s="16" t="s">
        <v>115</v>
      </c>
      <c r="K77" s="16"/>
      <c r="L77" s="16" t="s">
        <v>116</v>
      </c>
      <c r="M77" s="16" t="s">
        <v>117</v>
      </c>
      <c r="N77" s="11" t="s">
        <v>118</v>
      </c>
    </row>
    <row r="78" spans="1:14" ht="16.5" customHeight="1">
      <c r="A78" s="10"/>
      <c r="B78" s="37" t="s">
        <v>119</v>
      </c>
      <c r="C78" s="145">
        <v>0</v>
      </c>
      <c r="D78" s="35"/>
      <c r="E78" s="16"/>
      <c r="F78" s="16">
        <f>IF((C77-1),C78*(K4/10),0)</f>
        <v>0</v>
      </c>
      <c r="G78" s="16">
        <f>IF(C78&gt;0,(C78/0.25)-4,0)</f>
        <v>0</v>
      </c>
      <c r="H78" s="16"/>
      <c r="I78" s="16">
        <f>IF(C78&gt;0,1*(C78-1),0)</f>
        <v>0</v>
      </c>
      <c r="J78" s="145">
        <v>0</v>
      </c>
      <c r="K78" s="16"/>
      <c r="L78" s="16">
        <f>G78-I78</f>
        <v>0</v>
      </c>
      <c r="M78" s="16">
        <f>I78+(0.5*J78)</f>
        <v>0</v>
      </c>
      <c r="N78" s="54" t="s">
        <v>35</v>
      </c>
    </row>
    <row r="79" spans="1:14" ht="16.5" customHeight="1">
      <c r="A79" s="10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1"/>
    </row>
    <row r="80" spans="1:14" ht="16.5" customHeight="1">
      <c r="A80" s="29" t="s">
        <v>12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1"/>
    </row>
    <row r="81" spans="1:14" ht="16.5" customHeight="1">
      <c r="A81" s="10"/>
      <c r="B81" s="37" t="s">
        <v>119</v>
      </c>
      <c r="C81" s="145">
        <v>0</v>
      </c>
      <c r="D81" s="35"/>
      <c r="E81" s="16"/>
      <c r="F81" s="16">
        <f>C81</f>
        <v>0</v>
      </c>
      <c r="G81" s="16">
        <f>C81</f>
        <v>0</v>
      </c>
      <c r="H81" s="16"/>
      <c r="I81" s="16">
        <f>4*C81</f>
        <v>0</v>
      </c>
      <c r="J81" s="145">
        <v>0</v>
      </c>
      <c r="K81" s="16"/>
      <c r="L81" s="16">
        <f>G81-J81</f>
        <v>0</v>
      </c>
      <c r="M81" s="16">
        <f>I81</f>
        <v>0</v>
      </c>
      <c r="N81" s="11">
        <f>(0.5*C81)*2</f>
        <v>0</v>
      </c>
    </row>
    <row r="82" spans="1:14" ht="16.5" customHeight="1">
      <c r="A82" s="10"/>
      <c r="B82" s="16"/>
      <c r="C82" s="16"/>
      <c r="D82" s="16"/>
      <c r="E82" s="32" t="s">
        <v>120</v>
      </c>
      <c r="F82" s="16"/>
      <c r="G82" s="16"/>
      <c r="H82" s="16"/>
      <c r="I82" s="16"/>
      <c r="J82" s="16"/>
      <c r="K82" s="16"/>
      <c r="L82" s="16"/>
      <c r="M82" s="16"/>
      <c r="N82" s="11"/>
    </row>
    <row r="83" spans="1:14" ht="16.5" customHeight="1">
      <c r="A83" s="29" t="s">
        <v>121</v>
      </c>
      <c r="B83" s="16"/>
      <c r="C83" s="16"/>
      <c r="D83" s="16"/>
      <c r="E83" s="16">
        <v>1</v>
      </c>
      <c r="F83" s="16">
        <v>0</v>
      </c>
      <c r="G83" s="55">
        <f>S12*(E83-1)*0.025</f>
        <v>0</v>
      </c>
      <c r="H83" s="16"/>
      <c r="I83" s="55">
        <f>S12*(E83-1)*0.025</f>
        <v>0</v>
      </c>
      <c r="J83" s="147">
        <v>0</v>
      </c>
      <c r="K83" s="16"/>
      <c r="L83" s="55">
        <f>G83-J83</f>
        <v>0</v>
      </c>
      <c r="M83" s="16">
        <f>I83+(0.5*J83)</f>
        <v>0</v>
      </c>
      <c r="N83" s="54" t="s">
        <v>35</v>
      </c>
    </row>
    <row r="84" spans="1:14" ht="16.5" customHeight="1">
      <c r="A84" s="29" t="s">
        <v>122</v>
      </c>
      <c r="B84" s="16"/>
      <c r="C84" s="16"/>
      <c r="D84" s="16"/>
      <c r="E84" s="16">
        <v>1</v>
      </c>
      <c r="F84" s="16">
        <v>0</v>
      </c>
      <c r="G84" s="55">
        <f>S12*(E84-1)*0.025</f>
        <v>0</v>
      </c>
      <c r="H84" s="16"/>
      <c r="I84" s="55">
        <f>S12*(E84-1)*0.025</f>
        <v>0</v>
      </c>
      <c r="J84" s="147">
        <v>0</v>
      </c>
      <c r="K84" s="16"/>
      <c r="L84" s="55">
        <f>G84-J84</f>
        <v>0</v>
      </c>
      <c r="M84" s="16">
        <f>I84+(0.5*J84)</f>
        <v>0</v>
      </c>
      <c r="N84" s="54" t="s">
        <v>35</v>
      </c>
    </row>
    <row r="85" spans="1:14" ht="16.5" customHeight="1">
      <c r="A85" s="29" t="s">
        <v>123</v>
      </c>
      <c r="B85" s="16"/>
      <c r="C85" s="16"/>
      <c r="D85" s="16"/>
      <c r="E85" s="16">
        <v>1</v>
      </c>
      <c r="F85" s="16">
        <v>0</v>
      </c>
      <c r="G85" s="55">
        <f>S12*(E85-1)*0.0375</f>
        <v>0</v>
      </c>
      <c r="H85" s="16"/>
      <c r="I85" s="55">
        <f>S12*(E85-1)*0.0375</f>
        <v>0</v>
      </c>
      <c r="J85" s="147">
        <v>0</v>
      </c>
      <c r="K85" s="16"/>
      <c r="L85" s="55">
        <f>G85-J85</f>
        <v>0</v>
      </c>
      <c r="M85" s="16">
        <f>I85+(0.5*J85)</f>
        <v>0</v>
      </c>
      <c r="N85" s="54" t="s">
        <v>35</v>
      </c>
    </row>
    <row r="86" spans="1:14" ht="16.5" customHeight="1">
      <c r="A86" s="29" t="s">
        <v>124</v>
      </c>
      <c r="B86" s="16"/>
      <c r="C86" s="16"/>
      <c r="D86" s="16"/>
      <c r="E86" s="16">
        <v>1</v>
      </c>
      <c r="F86" s="16">
        <v>0</v>
      </c>
      <c r="G86" s="55">
        <f>S12*(E86-1)*0.05</f>
        <v>0</v>
      </c>
      <c r="H86" s="16"/>
      <c r="I86" s="55">
        <f>S12*(E86-1)*0.05</f>
        <v>0</v>
      </c>
      <c r="J86" s="147">
        <v>0</v>
      </c>
      <c r="K86" s="16"/>
      <c r="L86" s="55">
        <f>G86-J86</f>
        <v>0</v>
      </c>
      <c r="M86" s="16">
        <f>I86+(0.5*J86)</f>
        <v>0</v>
      </c>
      <c r="N86" s="54" t="s">
        <v>35</v>
      </c>
    </row>
    <row r="87" spans="1:14" ht="16.5" customHeight="1">
      <c r="A87" s="135" t="s">
        <v>200</v>
      </c>
      <c r="B87" s="16"/>
      <c r="C87" s="56" t="s">
        <v>125</v>
      </c>
      <c r="D87" s="56"/>
      <c r="E87" s="56">
        <v>100</v>
      </c>
      <c r="F87" s="16"/>
      <c r="G87" s="16"/>
      <c r="H87" s="16"/>
      <c r="I87" s="16"/>
      <c r="J87" s="16"/>
      <c r="K87" s="16"/>
      <c r="L87" s="16"/>
      <c r="M87" s="16"/>
      <c r="N87" s="11"/>
    </row>
    <row r="88" spans="1:14" ht="16.5" customHeight="1">
      <c r="A88" s="29" t="s">
        <v>11</v>
      </c>
      <c r="B88" s="16"/>
      <c r="C88" s="31" t="s">
        <v>120</v>
      </c>
      <c r="D88" s="31"/>
      <c r="E88" s="31" t="s">
        <v>126</v>
      </c>
      <c r="F88" s="16"/>
      <c r="G88" s="16"/>
      <c r="H88" s="16"/>
      <c r="I88" s="16"/>
      <c r="J88" s="16"/>
      <c r="K88" s="37" t="s">
        <v>26</v>
      </c>
      <c r="L88" s="16"/>
      <c r="M88" s="16"/>
      <c r="N88" s="11"/>
    </row>
    <row r="89" spans="1:14" ht="16.5" customHeight="1">
      <c r="A89" s="10" t="s">
        <v>127</v>
      </c>
      <c r="B89" s="16"/>
      <c r="C89" s="16">
        <v>1</v>
      </c>
      <c r="D89" s="16"/>
      <c r="E89" s="16">
        <v>1</v>
      </c>
      <c r="F89" s="16">
        <f>K89/2</f>
        <v>0</v>
      </c>
      <c r="G89" s="37" t="s">
        <v>35</v>
      </c>
      <c r="H89" s="16"/>
      <c r="I89" s="16">
        <f>INDEX(Data!$B$191:$B$201,C89)*INDEX(Data!$F$191:$F$202,E89)</f>
        <v>0</v>
      </c>
      <c r="J89" s="37" t="s">
        <v>35</v>
      </c>
      <c r="K89" s="16">
        <f>INDEX(Data!$B$191:$B$201,C89)</f>
        <v>0</v>
      </c>
      <c r="L89" s="16">
        <v>0</v>
      </c>
      <c r="M89" s="16">
        <f>I89</f>
        <v>0</v>
      </c>
      <c r="N89" s="11">
        <f>INDEX(Data!$C$191:$C$201,C89)</f>
        <v>0</v>
      </c>
    </row>
    <row r="90" spans="1:14" ht="16.5" customHeight="1">
      <c r="A90" s="10" t="s">
        <v>128</v>
      </c>
      <c r="B90" s="16"/>
      <c r="C90" s="16">
        <v>1</v>
      </c>
      <c r="D90" s="16"/>
      <c r="E90" s="16">
        <v>1</v>
      </c>
      <c r="F90" s="16">
        <f>K90/2</f>
        <v>0</v>
      </c>
      <c r="G90" s="37" t="s">
        <v>35</v>
      </c>
      <c r="H90" s="16"/>
      <c r="I90" s="16">
        <f>INDEX(Data!$B$191:$B$201,C90)</f>
        <v>0</v>
      </c>
      <c r="J90" s="37" t="s">
        <v>35</v>
      </c>
      <c r="K90" s="16">
        <f>INDEX(Data!$B$191:$B$201,C90)</f>
        <v>0</v>
      </c>
      <c r="L90" s="16">
        <v>0</v>
      </c>
      <c r="M90" s="16">
        <f>I90</f>
        <v>0</v>
      </c>
      <c r="N90" s="11">
        <f>INDEX(Data!$C$191:$C$201,C90)</f>
        <v>0</v>
      </c>
    </row>
    <row r="91" spans="1:14" ht="16.5" customHeight="1">
      <c r="A91" s="10" t="s">
        <v>129</v>
      </c>
      <c r="B91" s="16"/>
      <c r="C91" s="16">
        <v>1</v>
      </c>
      <c r="D91" s="16"/>
      <c r="E91" s="16">
        <v>1</v>
      </c>
      <c r="F91" s="16">
        <f>K91/2</f>
        <v>0</v>
      </c>
      <c r="G91" s="37" t="s">
        <v>35</v>
      </c>
      <c r="H91" s="16"/>
      <c r="I91" s="16">
        <f>INDEX(Data!$B$191:$B$201,C91)</f>
        <v>0</v>
      </c>
      <c r="J91" s="37" t="s">
        <v>35</v>
      </c>
      <c r="K91" s="16">
        <f>INDEX(Data!$B$191:$B$201,C91)</f>
        <v>0</v>
      </c>
      <c r="L91" s="16">
        <v>0</v>
      </c>
      <c r="M91" s="16">
        <f>I91</f>
        <v>0</v>
      </c>
      <c r="N91" s="11">
        <f>INDEX(Data!$C$191:$C$201,C91)</f>
        <v>0</v>
      </c>
    </row>
    <row r="92" spans="1:14" ht="16.5" customHeight="1">
      <c r="A92" s="10" t="s">
        <v>130</v>
      </c>
      <c r="B92" s="16"/>
      <c r="C92" s="16">
        <v>1</v>
      </c>
      <c r="D92" s="16"/>
      <c r="E92" s="16">
        <v>1</v>
      </c>
      <c r="F92" s="16">
        <f>K92/2</f>
        <v>0</v>
      </c>
      <c r="G92" s="37" t="s">
        <v>35</v>
      </c>
      <c r="H92" s="16"/>
      <c r="I92" s="16">
        <f>INDEX(Data!$B$191:$B$201,C92)</f>
        <v>0</v>
      </c>
      <c r="J92" s="37" t="s">
        <v>35</v>
      </c>
      <c r="K92" s="16">
        <f>INDEX(Data!$B$191:$B$201,C92)</f>
        <v>0</v>
      </c>
      <c r="L92" s="16">
        <v>0</v>
      </c>
      <c r="M92" s="16">
        <f>I92</f>
        <v>0</v>
      </c>
      <c r="N92" s="11">
        <f>INDEX(Data!$C$191:$C$201,C92)</f>
        <v>0</v>
      </c>
    </row>
    <row r="93" spans="1:14" ht="18" customHeight="1">
      <c r="A93" s="57" t="s">
        <v>131</v>
      </c>
      <c r="B93" s="26"/>
      <c r="C93" s="26">
        <v>1</v>
      </c>
      <c r="D93" s="26"/>
      <c r="E93" s="26">
        <v>1</v>
      </c>
      <c r="F93" s="26">
        <f>K93/2</f>
        <v>0</v>
      </c>
      <c r="G93" s="38" t="s">
        <v>35</v>
      </c>
      <c r="H93" s="26"/>
      <c r="I93" s="26">
        <f>INDEX(Data!$B$191:$B$201,C93)</f>
        <v>0</v>
      </c>
      <c r="J93" s="38" t="s">
        <v>35</v>
      </c>
      <c r="K93" s="26">
        <f>INDEX(Data!$B$191:$B$201,C93)</f>
        <v>0</v>
      </c>
      <c r="L93" s="26">
        <v>0</v>
      </c>
      <c r="M93" s="26">
        <f>I93</f>
        <v>0</v>
      </c>
      <c r="N93" s="22">
        <f>INDEX(Data!$C$191:$C$201,C93)</f>
        <v>0</v>
      </c>
    </row>
    <row r="95" spans="1:14" ht="16.5" customHeight="1">
      <c r="A95" s="58"/>
      <c r="B95" s="13" t="s">
        <v>132</v>
      </c>
      <c r="C95" s="14">
        <f>SUM(J98:J111,F115:F129)</f>
        <v>0</v>
      </c>
      <c r="D95" s="14"/>
      <c r="E95" s="166" t="s">
        <v>133</v>
      </c>
      <c r="F95" s="166"/>
      <c r="G95" s="166"/>
      <c r="H95" s="166"/>
      <c r="I95" s="166"/>
      <c r="J95" s="166"/>
      <c r="K95" s="166"/>
      <c r="L95" s="14"/>
      <c r="M95" s="13" t="s">
        <v>134</v>
      </c>
      <c r="N95" s="39">
        <f>SUM(E98:E111,I115:I129)/2</f>
        <v>0</v>
      </c>
    </row>
    <row r="96" spans="1:14" ht="16.5" customHeight="1">
      <c r="A96" s="10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1"/>
    </row>
    <row r="97" spans="1:14" ht="16.5" customHeight="1">
      <c r="A97" s="10"/>
      <c r="B97" s="16" t="s">
        <v>135</v>
      </c>
      <c r="C97" s="16" t="s">
        <v>29</v>
      </c>
      <c r="D97" s="16"/>
      <c r="E97" s="16" t="s">
        <v>31</v>
      </c>
      <c r="F97" s="16" t="s">
        <v>118</v>
      </c>
      <c r="G97" s="16" t="s">
        <v>136</v>
      </c>
      <c r="H97" s="16" t="s">
        <v>25</v>
      </c>
      <c r="I97" s="16"/>
      <c r="J97" s="16" t="s">
        <v>24</v>
      </c>
      <c r="K97" s="35" t="s">
        <v>137</v>
      </c>
      <c r="L97" s="16"/>
      <c r="M97" s="16"/>
      <c r="N97" s="11"/>
    </row>
    <row r="98" spans="1:14" ht="16.5" customHeight="1">
      <c r="A98" s="10" t="s">
        <v>34</v>
      </c>
      <c r="B98" s="16">
        <v>1</v>
      </c>
      <c r="C98" s="16">
        <v>2</v>
      </c>
      <c r="D98" s="16"/>
      <c r="E98" s="16">
        <f>INDEX(Data!$F$205:$F$216,B98)</f>
        <v>0</v>
      </c>
      <c r="F98" s="16">
        <f>INDEX(Data!$G$205:$G$216,B98)</f>
        <v>0</v>
      </c>
      <c r="G98" s="16">
        <v>1</v>
      </c>
      <c r="H98" s="16">
        <f>INDEX(Data!E205:E216,B98)-I98</f>
        <v>0</v>
      </c>
      <c r="I98" s="52">
        <f>INDEX(Data!$B$220:$B$230,G98)</f>
        <v>0</v>
      </c>
      <c r="J98" s="16">
        <f>INDEX(Data!$H$205:$L$216,B98,C98)</f>
        <v>0</v>
      </c>
      <c r="K98" s="16">
        <f>IF(G98&gt;1,F98-INDEX(Data!A220:A230,G98),F98)</f>
        <v>0</v>
      </c>
      <c r="L98" s="16"/>
      <c r="M98" s="16"/>
      <c r="N98" s="11"/>
    </row>
    <row r="99" spans="1:14" ht="16.5" customHeight="1">
      <c r="A99" s="10" t="s">
        <v>37</v>
      </c>
      <c r="B99" s="16">
        <v>1</v>
      </c>
      <c r="C99" s="16">
        <v>1</v>
      </c>
      <c r="D99" s="16"/>
      <c r="E99" s="16">
        <f>INDEX(Data!$F$205:$F$216,B99)</f>
        <v>0</v>
      </c>
      <c r="F99" s="16">
        <f>INDEX(Data!$G$205:$G$216,B99)</f>
        <v>0</v>
      </c>
      <c r="G99" s="16">
        <v>1</v>
      </c>
      <c r="H99" s="16">
        <f>INDEX(Data!$E$205:$E$216,B99)-INDEX(Data!$B$220:$B$230,G99)</f>
        <v>0</v>
      </c>
      <c r="I99" s="52">
        <f>INDEX(Data!$B$220:$B$230,G99)</f>
        <v>0</v>
      </c>
      <c r="J99" s="16">
        <f>INDEX(Data!$H$205:$L$216,B99,C99)</f>
        <v>0</v>
      </c>
      <c r="K99" s="16">
        <f>IF(G99&gt;1,F99-INDEX(Data!A221:A231,G99),F99)</f>
        <v>0</v>
      </c>
      <c r="L99" s="16"/>
      <c r="M99" s="16"/>
      <c r="N99" s="11"/>
    </row>
    <row r="100" spans="1:14" ht="16.5" customHeight="1">
      <c r="A100" s="10" t="s">
        <v>39</v>
      </c>
      <c r="B100" s="16">
        <v>1</v>
      </c>
      <c r="C100" s="16">
        <v>1</v>
      </c>
      <c r="D100" s="16"/>
      <c r="E100" s="16">
        <f>INDEX(Data!$F$205:$F$216,B100)</f>
        <v>0</v>
      </c>
      <c r="F100" s="16">
        <f>INDEX(Data!$G$205:$G$216,B100)</f>
        <v>0</v>
      </c>
      <c r="G100" s="16">
        <v>1</v>
      </c>
      <c r="H100" s="16">
        <f>INDEX(Data!$E$205:$E$216,B100)-INDEX(Data!$B$220:$B$230,G100)</f>
        <v>0</v>
      </c>
      <c r="I100" s="52">
        <f>INDEX(Data!$B$220:$B$230,G100)</f>
        <v>0</v>
      </c>
      <c r="J100" s="16">
        <f>INDEX(Data!$H$205:$L$216,B100,C100)</f>
        <v>0</v>
      </c>
      <c r="K100" s="16">
        <f>IF(G100&gt;1,F100-INDEX(Data!A222:A232,G100),F100)</f>
        <v>0</v>
      </c>
      <c r="L100" s="16"/>
      <c r="M100" s="16"/>
      <c r="N100" s="11"/>
    </row>
    <row r="101" spans="1:14" ht="16.5" customHeight="1">
      <c r="A101" s="10" t="s">
        <v>41</v>
      </c>
      <c r="B101" s="16">
        <v>1</v>
      </c>
      <c r="C101" s="16">
        <v>1</v>
      </c>
      <c r="D101" s="16"/>
      <c r="E101" s="16">
        <f>INDEX(Data!$F$205:$F$216,B101)</f>
        <v>0</v>
      </c>
      <c r="F101" s="16">
        <f>INDEX(Data!$G$205:$G$216,B101)</f>
        <v>0</v>
      </c>
      <c r="G101" s="16">
        <v>1</v>
      </c>
      <c r="H101" s="16">
        <f>INDEX(Data!$E$205:$E$216,B101)-INDEX(Data!$B$220:$B$230,G101)</f>
        <v>0</v>
      </c>
      <c r="I101" s="52">
        <f>INDEX(Data!$B$220:$B$230,G101)</f>
        <v>0</v>
      </c>
      <c r="J101" s="16">
        <f>INDEX(Data!$H$205:$L$216,B101,C101)</f>
        <v>0</v>
      </c>
      <c r="K101" s="16">
        <f>IF(G101&gt;1,F101-INDEX(Data!A223:A233,G101),F101)</f>
        <v>0</v>
      </c>
      <c r="L101" s="16"/>
      <c r="M101" s="16"/>
      <c r="N101" s="11"/>
    </row>
    <row r="102" spans="1:14" ht="16.5" customHeight="1">
      <c r="A102" s="10" t="s">
        <v>43</v>
      </c>
      <c r="B102" s="16">
        <v>1</v>
      </c>
      <c r="C102" s="16">
        <v>1</v>
      </c>
      <c r="D102" s="16"/>
      <c r="E102" s="16">
        <f>INDEX(Data!$F$205:$F$216,B102)</f>
        <v>0</v>
      </c>
      <c r="F102" s="16">
        <f>INDEX(Data!$G$205:$G$216,B102)</f>
        <v>0</v>
      </c>
      <c r="G102" s="16">
        <v>1</v>
      </c>
      <c r="H102" s="16">
        <f>INDEX(Data!$E$205:$E$216,B102)-INDEX(Data!$B$220:$B$230,G102)</f>
        <v>0</v>
      </c>
      <c r="I102" s="52">
        <f>INDEX(Data!$B$220:$B$230,G102)</f>
        <v>0</v>
      </c>
      <c r="J102" s="16">
        <f>INDEX(Data!$H$205:$L$216,B102,C102)</f>
        <v>0</v>
      </c>
      <c r="K102" s="16">
        <f>IF(G102&gt;1,F102-INDEX(Data!A224:A234,G102),F102)</f>
        <v>0</v>
      </c>
      <c r="L102" s="16"/>
      <c r="M102" s="16"/>
      <c r="N102" s="11"/>
    </row>
    <row r="103" spans="1:14" ht="16.5" customHeight="1">
      <c r="A103" s="10" t="s">
        <v>45</v>
      </c>
      <c r="B103" s="16">
        <v>1</v>
      </c>
      <c r="C103" s="16">
        <v>1</v>
      </c>
      <c r="D103" s="16"/>
      <c r="E103" s="16">
        <f>INDEX(Data!$F$205:$F$216,B103)</f>
        <v>0</v>
      </c>
      <c r="F103" s="16">
        <f>INDEX(Data!$G$205:$G$216,B103)</f>
        <v>0</v>
      </c>
      <c r="G103" s="16">
        <v>1</v>
      </c>
      <c r="H103" s="16">
        <f>INDEX(Data!$E$205:$E$216,B103)-INDEX(Data!$B$220:$B$230,G103)</f>
        <v>0</v>
      </c>
      <c r="I103" s="52">
        <f>INDEX(Data!$B$220:$B$230,G103)</f>
        <v>0</v>
      </c>
      <c r="J103" s="16">
        <f>INDEX(Data!$H$205:$L$216,B103,C103)</f>
        <v>0</v>
      </c>
      <c r="K103" s="16">
        <f>IF(G103&gt;1,F103-INDEX(Data!A225:A235,G103),F103)</f>
        <v>0</v>
      </c>
      <c r="L103" s="16"/>
      <c r="M103" s="16"/>
      <c r="N103" s="11"/>
    </row>
    <row r="104" spans="1:14" ht="16.5" customHeight="1">
      <c r="A104" s="10" t="s">
        <v>47</v>
      </c>
      <c r="B104" s="16">
        <v>1</v>
      </c>
      <c r="C104" s="16">
        <v>1</v>
      </c>
      <c r="D104" s="16"/>
      <c r="E104" s="16">
        <f>INDEX(Data!$F$205:$F$216,B104)</f>
        <v>0</v>
      </c>
      <c r="F104" s="16">
        <f>INDEX(Data!$G$205:$G$216,B104)</f>
        <v>0</v>
      </c>
      <c r="G104" s="16">
        <v>1</v>
      </c>
      <c r="H104" s="16">
        <f>INDEX(Data!$E$205:$E$216,B104)-INDEX(Data!$B$220:$B$230,G104)</f>
        <v>0</v>
      </c>
      <c r="I104" s="52">
        <f>INDEX(Data!$B$220:$B$230,G104)</f>
        <v>0</v>
      </c>
      <c r="J104" s="16">
        <f>INDEX(Data!$H$205:$L$216,B104,C104)</f>
        <v>0</v>
      </c>
      <c r="K104" s="16">
        <f>IF(G104&gt;1,F104-INDEX(Data!A226:A236,G104),F104)</f>
        <v>0</v>
      </c>
      <c r="L104" s="16"/>
      <c r="M104" s="16"/>
      <c r="N104" s="11"/>
    </row>
    <row r="105" spans="1:14" ht="16.5" customHeight="1">
      <c r="A105" s="10" t="s">
        <v>47</v>
      </c>
      <c r="B105" s="16">
        <v>1</v>
      </c>
      <c r="C105" s="16">
        <v>1</v>
      </c>
      <c r="D105" s="16"/>
      <c r="E105" s="16">
        <f>INDEX(Data!$F$205:$F$216,B105)</f>
        <v>0</v>
      </c>
      <c r="F105" s="16">
        <f>INDEX(Data!$G$205:$G$216,B105)</f>
        <v>0</v>
      </c>
      <c r="G105" s="16">
        <v>1</v>
      </c>
      <c r="H105" s="16">
        <f>INDEX(Data!$E$205:$E$216,B105)-INDEX(Data!$B$220:$B$230,G105)</f>
        <v>0</v>
      </c>
      <c r="I105" s="52">
        <f>INDEX(Data!$B$220:$B$230,G105)</f>
        <v>0</v>
      </c>
      <c r="J105" s="16">
        <f>INDEX(Data!$H$205:$L$216,B105,C105)</f>
        <v>0</v>
      </c>
      <c r="K105" s="16">
        <f>IF(G105&gt;1,F105-INDEX(Data!A227:A237,G105),F105)</f>
        <v>0</v>
      </c>
      <c r="L105" s="16"/>
      <c r="M105" s="16"/>
      <c r="N105" s="11"/>
    </row>
    <row r="106" spans="1:14" ht="16.5" customHeight="1">
      <c r="A106" s="10" t="s">
        <v>47</v>
      </c>
      <c r="B106" s="16">
        <v>1</v>
      </c>
      <c r="C106" s="16">
        <v>1</v>
      </c>
      <c r="D106" s="16"/>
      <c r="E106" s="16">
        <f>INDEX(Data!$F$205:$F$216,B106)</f>
        <v>0</v>
      </c>
      <c r="F106" s="16">
        <f>INDEX(Data!$G$205:$G$216,B106)</f>
        <v>0</v>
      </c>
      <c r="G106" s="16">
        <v>1</v>
      </c>
      <c r="H106" s="16">
        <f>INDEX(Data!$E$205:$E$216,B106)-INDEX(Data!$B$220:$B$230,G106)</f>
        <v>0</v>
      </c>
      <c r="I106" s="52">
        <f>INDEX(Data!$B$220:$B$230,G106)</f>
        <v>0</v>
      </c>
      <c r="J106" s="16">
        <f>INDEX(Data!$H$205:$L$216,B106,C106)</f>
        <v>0</v>
      </c>
      <c r="K106" s="16">
        <f>IF(G106&gt;1,F106-INDEX(Data!A228:A238,G106),F106)</f>
        <v>0</v>
      </c>
      <c r="L106" s="16"/>
      <c r="M106" s="16"/>
      <c r="N106" s="11"/>
    </row>
    <row r="107" spans="1:14" ht="16.5" customHeight="1">
      <c r="A107" s="10" t="s">
        <v>47</v>
      </c>
      <c r="B107" s="16">
        <v>1</v>
      </c>
      <c r="C107" s="16">
        <v>1</v>
      </c>
      <c r="D107" s="16"/>
      <c r="E107" s="16">
        <f>INDEX(Data!$F$205:$F$216,B107)</f>
        <v>0</v>
      </c>
      <c r="F107" s="16">
        <f>INDEX(Data!$G$205:$G$216,B107)</f>
        <v>0</v>
      </c>
      <c r="G107" s="16">
        <v>1</v>
      </c>
      <c r="H107" s="16">
        <f>INDEX(Data!$E$205:$E$216,B107)-INDEX(Data!$B$220:$B$230,G107)</f>
        <v>0</v>
      </c>
      <c r="I107" s="52">
        <f>INDEX(Data!$B$220:$B$230,G107)</f>
        <v>0</v>
      </c>
      <c r="J107" s="16">
        <f>INDEX(Data!$H$205:$L$216,B107,C107)</f>
        <v>0</v>
      </c>
      <c r="K107" s="16">
        <f>IF(G107&gt;1,F107-INDEX(Data!A229:A239,G107),F107)</f>
        <v>0</v>
      </c>
      <c r="L107" s="16"/>
      <c r="M107" s="16"/>
      <c r="N107" s="11"/>
    </row>
    <row r="108" spans="1:14" ht="16.5" customHeight="1">
      <c r="A108" s="10" t="s">
        <v>48</v>
      </c>
      <c r="B108" s="16">
        <v>1</v>
      </c>
      <c r="C108" s="16">
        <v>1</v>
      </c>
      <c r="D108" s="16"/>
      <c r="E108" s="16">
        <f>INDEX(Data!$F$205:$F$216,B108)</f>
        <v>0</v>
      </c>
      <c r="F108" s="16">
        <f>INDEX(Data!$G$205:$G$216,B108)</f>
        <v>0</v>
      </c>
      <c r="G108" s="16">
        <v>1</v>
      </c>
      <c r="H108" s="16">
        <f>INDEX(Data!$E$205:$E$216,B108)-INDEX(Data!$B$220:$B$230,G108)</f>
        <v>0</v>
      </c>
      <c r="I108" s="52">
        <f>INDEX(Data!$B$220:$B$230,G108)</f>
        <v>0</v>
      </c>
      <c r="J108" s="16">
        <f>INDEX(Data!$H$205:$L$216,B108,C108)</f>
        <v>0</v>
      </c>
      <c r="K108" s="16">
        <f>IF(G108&gt;1,F108-INDEX(Data!A230:A240,G108),F108)</f>
        <v>0</v>
      </c>
      <c r="L108" s="16"/>
      <c r="M108" s="16"/>
      <c r="N108" s="11"/>
    </row>
    <row r="109" spans="1:14" ht="16.5" customHeight="1">
      <c r="A109" s="10" t="s">
        <v>48</v>
      </c>
      <c r="B109" s="16">
        <v>1</v>
      </c>
      <c r="C109" s="16">
        <v>1</v>
      </c>
      <c r="D109" s="16"/>
      <c r="E109" s="16">
        <f>INDEX(Data!$F$205:$F$216,B109)</f>
        <v>0</v>
      </c>
      <c r="F109" s="16">
        <f>INDEX(Data!$G$205:$G$216,B109)</f>
        <v>0</v>
      </c>
      <c r="G109" s="16">
        <v>1</v>
      </c>
      <c r="H109" s="16">
        <f>INDEX(Data!$E$205:$E$216,B109)-INDEX(Data!$B$220:$B$230,G109)</f>
        <v>0</v>
      </c>
      <c r="I109" s="52">
        <f>INDEX(Data!$B$220:$B$230,G109)</f>
        <v>0</v>
      </c>
      <c r="J109" s="16">
        <f>INDEX(Data!$H$205:$L$216,B109,C109)</f>
        <v>0</v>
      </c>
      <c r="K109" s="16">
        <f>IF(G109&gt;1,F109-INDEX(Data!A231:A241,G109),F109)</f>
        <v>0</v>
      </c>
      <c r="L109" s="16"/>
      <c r="M109" s="16"/>
      <c r="N109" s="11"/>
    </row>
    <row r="110" spans="1:14" ht="16.5" customHeight="1">
      <c r="A110" s="10" t="s">
        <v>48</v>
      </c>
      <c r="B110" s="16">
        <v>1</v>
      </c>
      <c r="C110" s="16">
        <v>1</v>
      </c>
      <c r="D110" s="16"/>
      <c r="E110" s="16">
        <f>INDEX(Data!$F$205:$F$216,B110)</f>
        <v>0</v>
      </c>
      <c r="F110" s="16">
        <f>INDEX(Data!$G$205:$G$216,B110)</f>
        <v>0</v>
      </c>
      <c r="G110" s="16">
        <v>1</v>
      </c>
      <c r="H110" s="16">
        <f>INDEX(Data!$E$205:$E$216,B110)-INDEX(Data!$B$220:$B$230,G110)</f>
        <v>0</v>
      </c>
      <c r="I110" s="52">
        <f>INDEX(Data!$B$220:$B$230,G110)</f>
        <v>0</v>
      </c>
      <c r="J110" s="16">
        <f>INDEX(Data!$H$205:$L$216,B110,C110)</f>
        <v>0</v>
      </c>
      <c r="K110" s="16">
        <f>IF(G110&gt;1,F110-INDEX(Data!A232:A242,G110),F110)</f>
        <v>0</v>
      </c>
      <c r="L110" s="16"/>
      <c r="M110" s="16"/>
      <c r="N110" s="11"/>
    </row>
    <row r="111" spans="1:14" ht="16.5" customHeight="1">
      <c r="A111" s="10" t="s">
        <v>48</v>
      </c>
      <c r="B111" s="16">
        <v>1</v>
      </c>
      <c r="C111" s="16">
        <v>1</v>
      </c>
      <c r="D111" s="16"/>
      <c r="E111" s="16">
        <f>INDEX(Data!$F$205:$F$216,B111)</f>
        <v>0</v>
      </c>
      <c r="F111" s="16">
        <f>INDEX(Data!$G$205:$G$216,B111)</f>
        <v>0</v>
      </c>
      <c r="G111" s="16">
        <v>1</v>
      </c>
      <c r="H111" s="16">
        <f>INDEX(Data!$E$205:$E$216,B111)-INDEX(Data!$B$220:$B$230,G111)</f>
        <v>0</v>
      </c>
      <c r="I111" s="52">
        <f>INDEX(Data!$B$220:$B$230,G111)</f>
        <v>0</v>
      </c>
      <c r="J111" s="16">
        <f>INDEX(Data!$H$205:$L$216,B111,C111)</f>
        <v>0</v>
      </c>
      <c r="K111" s="16">
        <f>IF(G111&gt;1,F111-INDEX(Data!A233:A243,G111),F111)</f>
        <v>0</v>
      </c>
      <c r="L111" s="16"/>
      <c r="M111" s="16"/>
      <c r="N111" s="11"/>
    </row>
    <row r="112" spans="1:14" ht="16.5" customHeight="1">
      <c r="A112" s="10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1"/>
    </row>
    <row r="113" spans="1:14" ht="16.5" customHeight="1">
      <c r="A113" s="29" t="s">
        <v>138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1"/>
    </row>
    <row r="114" spans="1:14" ht="16.5" customHeight="1">
      <c r="A114" s="29" t="s">
        <v>139</v>
      </c>
      <c r="B114" s="16"/>
      <c r="C114" s="16"/>
      <c r="D114" s="16"/>
      <c r="E114" s="16"/>
      <c r="F114" s="16" t="s">
        <v>24</v>
      </c>
      <c r="G114" s="16" t="s">
        <v>25</v>
      </c>
      <c r="H114" s="16" t="s">
        <v>26</v>
      </c>
      <c r="I114" s="35" t="s">
        <v>114</v>
      </c>
      <c r="J114" s="16"/>
      <c r="K114" s="35" t="s">
        <v>118</v>
      </c>
      <c r="L114" s="16"/>
      <c r="M114" s="16"/>
      <c r="N114" s="11"/>
    </row>
    <row r="115" spans="1:14" ht="16.5" customHeight="1">
      <c r="A115" s="148" t="s">
        <v>140</v>
      </c>
      <c r="B115" s="145"/>
      <c r="C115" s="145"/>
      <c r="D115" s="145"/>
      <c r="E115" s="145"/>
      <c r="F115" s="145">
        <v>0</v>
      </c>
      <c r="G115" s="145">
        <v>0</v>
      </c>
      <c r="H115" s="145">
        <v>0</v>
      </c>
      <c r="I115" s="145">
        <v>0</v>
      </c>
      <c r="J115" s="16"/>
      <c r="K115" s="35">
        <v>0</v>
      </c>
      <c r="L115" s="16"/>
      <c r="M115" s="16"/>
      <c r="N115" s="11"/>
    </row>
    <row r="116" spans="1:14" ht="16.5" customHeight="1">
      <c r="A116" s="148" t="s">
        <v>140</v>
      </c>
      <c r="B116" s="145"/>
      <c r="C116" s="145"/>
      <c r="D116" s="145"/>
      <c r="E116" s="145"/>
      <c r="F116" s="145">
        <v>0</v>
      </c>
      <c r="G116" s="145">
        <v>0</v>
      </c>
      <c r="H116" s="145">
        <v>0</v>
      </c>
      <c r="I116" s="145">
        <v>0</v>
      </c>
      <c r="J116" s="16"/>
      <c r="K116" s="35">
        <v>0</v>
      </c>
      <c r="L116" s="16"/>
      <c r="M116" s="16"/>
      <c r="N116" s="11"/>
    </row>
    <row r="117" spans="1:14" ht="16.5" customHeight="1">
      <c r="A117" s="148" t="s">
        <v>140</v>
      </c>
      <c r="B117" s="145"/>
      <c r="C117" s="145"/>
      <c r="D117" s="145"/>
      <c r="E117" s="145"/>
      <c r="F117" s="145">
        <v>0</v>
      </c>
      <c r="G117" s="145">
        <v>0</v>
      </c>
      <c r="H117" s="145">
        <v>0</v>
      </c>
      <c r="I117" s="145">
        <v>0</v>
      </c>
      <c r="J117" s="16"/>
      <c r="K117" s="35">
        <v>0</v>
      </c>
      <c r="L117" s="16"/>
      <c r="M117" s="16"/>
      <c r="N117" s="11"/>
    </row>
    <row r="118" spans="1:14" ht="16.5" customHeight="1">
      <c r="A118" s="148" t="s">
        <v>140</v>
      </c>
      <c r="B118" s="145"/>
      <c r="C118" s="145"/>
      <c r="D118" s="145"/>
      <c r="E118" s="145"/>
      <c r="F118" s="145">
        <v>0</v>
      </c>
      <c r="G118" s="145">
        <v>0</v>
      </c>
      <c r="H118" s="145">
        <v>0</v>
      </c>
      <c r="I118" s="145">
        <v>0</v>
      </c>
      <c r="J118" s="16"/>
      <c r="K118" s="35">
        <v>0</v>
      </c>
      <c r="L118" s="16"/>
      <c r="M118" s="16"/>
      <c r="N118" s="11"/>
    </row>
    <row r="119" spans="1:14" ht="16.5" customHeight="1">
      <c r="A119" s="148" t="s">
        <v>140</v>
      </c>
      <c r="B119" s="145"/>
      <c r="C119" s="145"/>
      <c r="D119" s="145"/>
      <c r="E119" s="145"/>
      <c r="F119" s="145">
        <v>0</v>
      </c>
      <c r="G119" s="145">
        <v>0</v>
      </c>
      <c r="H119" s="145">
        <v>0</v>
      </c>
      <c r="I119" s="145">
        <v>0</v>
      </c>
      <c r="J119" s="16"/>
      <c r="K119" s="35">
        <v>0</v>
      </c>
      <c r="L119" s="16"/>
      <c r="M119" s="16"/>
      <c r="N119" s="11"/>
    </row>
    <row r="120" spans="1:14" ht="16.5" customHeight="1">
      <c r="A120" s="148" t="s">
        <v>140</v>
      </c>
      <c r="B120" s="145"/>
      <c r="C120" s="145"/>
      <c r="D120" s="145"/>
      <c r="E120" s="145"/>
      <c r="F120" s="145">
        <v>0</v>
      </c>
      <c r="G120" s="145">
        <v>0</v>
      </c>
      <c r="H120" s="145">
        <v>0</v>
      </c>
      <c r="I120" s="145">
        <v>0</v>
      </c>
      <c r="J120" s="16"/>
      <c r="K120" s="35">
        <v>0</v>
      </c>
      <c r="L120" s="16"/>
      <c r="M120" s="16"/>
      <c r="N120" s="11"/>
    </row>
    <row r="121" spans="1:14" ht="16.5" customHeight="1">
      <c r="A121" s="148" t="s">
        <v>140</v>
      </c>
      <c r="B121" s="145"/>
      <c r="C121" s="145"/>
      <c r="D121" s="145"/>
      <c r="E121" s="145"/>
      <c r="F121" s="145">
        <v>0</v>
      </c>
      <c r="G121" s="145">
        <v>0</v>
      </c>
      <c r="H121" s="145">
        <v>0</v>
      </c>
      <c r="I121" s="145">
        <v>0</v>
      </c>
      <c r="J121" s="16"/>
      <c r="K121" s="35">
        <v>0</v>
      </c>
      <c r="L121" s="16"/>
      <c r="M121" s="16"/>
      <c r="N121" s="11"/>
    </row>
    <row r="122" spans="1:14" ht="16.5" customHeight="1">
      <c r="A122" s="148" t="s">
        <v>140</v>
      </c>
      <c r="B122" s="145"/>
      <c r="C122" s="145"/>
      <c r="D122" s="145"/>
      <c r="E122" s="145"/>
      <c r="F122" s="145">
        <v>0</v>
      </c>
      <c r="G122" s="145">
        <v>0</v>
      </c>
      <c r="H122" s="145">
        <v>0</v>
      </c>
      <c r="I122" s="145">
        <v>0</v>
      </c>
      <c r="J122" s="16"/>
      <c r="K122" s="35">
        <v>0</v>
      </c>
      <c r="L122" s="16"/>
      <c r="M122" s="16"/>
      <c r="N122" s="11"/>
    </row>
    <row r="123" spans="1:14" ht="16.5" customHeight="1">
      <c r="A123" s="148" t="s">
        <v>140</v>
      </c>
      <c r="B123" s="145"/>
      <c r="C123" s="145"/>
      <c r="D123" s="145"/>
      <c r="E123" s="145"/>
      <c r="F123" s="145">
        <v>0</v>
      </c>
      <c r="G123" s="145">
        <v>0</v>
      </c>
      <c r="H123" s="145">
        <v>0</v>
      </c>
      <c r="I123" s="145">
        <v>0</v>
      </c>
      <c r="J123" s="16"/>
      <c r="K123" s="35">
        <v>0</v>
      </c>
      <c r="L123" s="16"/>
      <c r="M123" s="16"/>
      <c r="N123" s="11"/>
    </row>
    <row r="124" spans="1:14" ht="16.5" customHeight="1">
      <c r="A124" s="148" t="s">
        <v>140</v>
      </c>
      <c r="B124" s="145"/>
      <c r="C124" s="145"/>
      <c r="D124" s="145"/>
      <c r="E124" s="145"/>
      <c r="F124" s="145">
        <v>0</v>
      </c>
      <c r="G124" s="145">
        <v>0</v>
      </c>
      <c r="H124" s="145">
        <v>0</v>
      </c>
      <c r="I124" s="145">
        <v>0</v>
      </c>
      <c r="J124" s="16"/>
      <c r="K124" s="35">
        <v>0</v>
      </c>
      <c r="L124" s="16"/>
      <c r="M124" s="16"/>
      <c r="N124" s="11"/>
    </row>
    <row r="125" spans="1:14" ht="16.5" customHeight="1">
      <c r="A125" s="148" t="s">
        <v>140</v>
      </c>
      <c r="B125" s="145"/>
      <c r="C125" s="145"/>
      <c r="D125" s="145"/>
      <c r="E125" s="145"/>
      <c r="F125" s="145">
        <v>0</v>
      </c>
      <c r="G125" s="145">
        <v>0</v>
      </c>
      <c r="H125" s="145">
        <v>0</v>
      </c>
      <c r="I125" s="145">
        <v>0</v>
      </c>
      <c r="J125" s="16"/>
      <c r="K125" s="35">
        <v>0</v>
      </c>
      <c r="L125" s="16"/>
      <c r="M125" s="16"/>
      <c r="N125" s="11"/>
    </row>
    <row r="126" spans="1:14" ht="16.5" customHeight="1">
      <c r="A126" s="148" t="s">
        <v>140</v>
      </c>
      <c r="B126" s="145"/>
      <c r="C126" s="145"/>
      <c r="D126" s="145"/>
      <c r="E126" s="145"/>
      <c r="F126" s="145">
        <v>0</v>
      </c>
      <c r="G126" s="145">
        <v>0</v>
      </c>
      <c r="H126" s="145">
        <v>0</v>
      </c>
      <c r="I126" s="145">
        <v>0</v>
      </c>
      <c r="J126" s="16"/>
      <c r="K126" s="35">
        <v>0</v>
      </c>
      <c r="L126" s="16"/>
      <c r="M126" s="16"/>
      <c r="N126" s="11"/>
    </row>
    <row r="127" spans="1:14" ht="16.5" customHeight="1">
      <c r="A127" s="148" t="s">
        <v>140</v>
      </c>
      <c r="B127" s="145"/>
      <c r="C127" s="145"/>
      <c r="D127" s="145"/>
      <c r="E127" s="145"/>
      <c r="F127" s="145">
        <v>0</v>
      </c>
      <c r="G127" s="145">
        <v>0</v>
      </c>
      <c r="H127" s="145">
        <v>0</v>
      </c>
      <c r="I127" s="145">
        <v>0</v>
      </c>
      <c r="J127" s="16"/>
      <c r="K127" s="35">
        <v>0</v>
      </c>
      <c r="L127" s="16"/>
      <c r="M127" s="16"/>
      <c r="N127" s="11"/>
    </row>
    <row r="128" spans="1:14" ht="16.5" customHeight="1">
      <c r="A128" s="148" t="s">
        <v>140</v>
      </c>
      <c r="B128" s="145"/>
      <c r="C128" s="145"/>
      <c r="D128" s="145"/>
      <c r="E128" s="145"/>
      <c r="F128" s="145">
        <v>0</v>
      </c>
      <c r="G128" s="145">
        <v>0</v>
      </c>
      <c r="H128" s="145">
        <v>0</v>
      </c>
      <c r="I128" s="145">
        <v>0</v>
      </c>
      <c r="J128" s="16"/>
      <c r="K128" s="35">
        <v>0</v>
      </c>
      <c r="L128" s="16"/>
      <c r="M128" s="16"/>
      <c r="N128" s="11"/>
    </row>
    <row r="129" spans="1:14" ht="16.5" customHeight="1">
      <c r="A129" s="148" t="s">
        <v>140</v>
      </c>
      <c r="B129" s="145"/>
      <c r="C129" s="145"/>
      <c r="D129" s="145"/>
      <c r="E129" s="145"/>
      <c r="F129" s="145">
        <v>0</v>
      </c>
      <c r="G129" s="145">
        <v>0</v>
      </c>
      <c r="H129" s="145">
        <v>0</v>
      </c>
      <c r="I129" s="145">
        <v>0</v>
      </c>
      <c r="J129" s="16"/>
      <c r="K129" s="35">
        <v>0</v>
      </c>
      <c r="L129" s="52">
        <f>SUM(K115:K129,K98:K111)</f>
        <v>0</v>
      </c>
      <c r="M129" s="16"/>
      <c r="N129" s="11"/>
    </row>
    <row r="130" spans="1:14" ht="16.5" customHeight="1">
      <c r="A130" s="10"/>
      <c r="B130" s="16"/>
      <c r="C130" s="16"/>
      <c r="D130" s="16"/>
      <c r="E130" s="16"/>
      <c r="F130" s="16"/>
      <c r="G130" s="16"/>
      <c r="H130" s="16"/>
      <c r="I130" s="16"/>
      <c r="J130" s="31" t="s">
        <v>141</v>
      </c>
      <c r="K130" s="35">
        <f>IF(L129&gt;=0,L129,0)</f>
        <v>0</v>
      </c>
      <c r="L130" s="16"/>
      <c r="M130" s="16"/>
      <c r="N130" s="11"/>
    </row>
    <row r="131" spans="1:14" ht="16.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2"/>
    </row>
    <row r="133" spans="1:14" ht="16.5" customHeight="1">
      <c r="A133" s="59"/>
      <c r="B133" s="60"/>
      <c r="C133" s="166" t="s">
        <v>142</v>
      </c>
      <c r="D133" s="166"/>
      <c r="E133" s="166"/>
      <c r="F133" s="166"/>
      <c r="G133" s="166"/>
      <c r="H133" s="166"/>
      <c r="I133" s="166"/>
      <c r="J133" s="166"/>
      <c r="K133" s="166"/>
      <c r="L133" s="13" t="s">
        <v>143</v>
      </c>
      <c r="M133" s="14">
        <f>SUM(K153,K168)</f>
        <v>0</v>
      </c>
      <c r="N133" s="61"/>
    </row>
    <row r="134" spans="1:14" ht="16.5" customHeight="1">
      <c r="A134" s="10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1"/>
    </row>
    <row r="135" spans="1:14" ht="16.5" customHeight="1">
      <c r="A135" s="29" t="s">
        <v>85</v>
      </c>
      <c r="B135" s="16"/>
      <c r="C135" s="16"/>
      <c r="D135" s="16"/>
      <c r="E135" s="16"/>
      <c r="F135" s="16" t="s">
        <v>144</v>
      </c>
      <c r="G135" s="16"/>
      <c r="H135" t="s">
        <v>145</v>
      </c>
      <c r="I135" s="30" t="s">
        <v>146</v>
      </c>
      <c r="J135" s="48" t="s">
        <v>4</v>
      </c>
      <c r="K135" s="62" t="s">
        <v>120</v>
      </c>
      <c r="L135" s="16"/>
      <c r="M135" s="16"/>
      <c r="N135" s="11"/>
    </row>
    <row r="136" spans="1:14" ht="16.5" customHeight="1">
      <c r="A136" s="10"/>
      <c r="B136" s="16" t="s">
        <v>147</v>
      </c>
      <c r="C136" s="16">
        <v>2</v>
      </c>
      <c r="D136" s="16"/>
      <c r="E136" s="16"/>
      <c r="F136" s="16">
        <f>INDEX(Data!B234:B238,C136)</f>
        <v>0</v>
      </c>
      <c r="G136" s="16"/>
      <c r="H136" s="16">
        <v>1</v>
      </c>
      <c r="I136" s="30">
        <f>IF(H136-1,5,1)</f>
        <v>1</v>
      </c>
      <c r="J136" s="48">
        <f>INDEX(Data!C234:C238,C136)</f>
        <v>0</v>
      </c>
      <c r="K136" s="48">
        <f>INDEX(Data!D234:D238,C136)</f>
        <v>0</v>
      </c>
      <c r="L136" s="16"/>
      <c r="M136" s="16"/>
      <c r="N136" s="11"/>
    </row>
    <row r="137" spans="1:14" ht="16.5" customHeight="1">
      <c r="A137" s="10"/>
      <c r="B137" s="16" t="s">
        <v>148</v>
      </c>
      <c r="C137" s="16">
        <v>1</v>
      </c>
      <c r="D137" s="16"/>
      <c r="E137" s="16"/>
      <c r="F137" s="16">
        <f>INDEX(Data!B240:B244,C137)</f>
        <v>0</v>
      </c>
      <c r="G137" s="16"/>
      <c r="H137" s="16"/>
      <c r="I137" s="16"/>
      <c r="J137" s="16"/>
      <c r="K137" s="16"/>
      <c r="L137" s="16"/>
      <c r="M137" s="16"/>
      <c r="N137" s="11"/>
    </row>
    <row r="138" spans="1:14" ht="16.5" customHeight="1">
      <c r="A138" s="10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1"/>
    </row>
    <row r="139" spans="1:14" ht="16.5" customHeight="1">
      <c r="A139" s="29" t="s">
        <v>149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1"/>
    </row>
    <row r="140" spans="1:14" ht="16.5" customHeight="1">
      <c r="A140" s="10"/>
      <c r="B140" s="16"/>
      <c r="C140" s="16">
        <v>2</v>
      </c>
      <c r="D140" s="16"/>
      <c r="E140" s="16"/>
      <c r="F140" s="16">
        <f>INDEX(Data!B246:B250,C140)</f>
        <v>0</v>
      </c>
      <c r="G140" s="16"/>
      <c r="H140" s="16"/>
      <c r="I140" s="16"/>
      <c r="J140" s="16"/>
      <c r="K140" s="16"/>
      <c r="L140" s="16"/>
      <c r="M140" s="16"/>
      <c r="N140" s="11"/>
    </row>
    <row r="141" spans="1:14" ht="16.5" customHeight="1">
      <c r="A141" s="29" t="s">
        <v>150</v>
      </c>
      <c r="B141" s="16"/>
      <c r="C141" s="16"/>
      <c r="D141" s="16"/>
      <c r="E141" s="16"/>
      <c r="F141" s="16"/>
      <c r="G141" s="16"/>
      <c r="H141" s="16"/>
      <c r="I141" s="16"/>
      <c r="J141" s="63" t="s">
        <v>151</v>
      </c>
      <c r="K141" s="16"/>
      <c r="L141" s="16"/>
      <c r="M141" s="16"/>
      <c r="N141" s="11"/>
    </row>
    <row r="142" spans="1:14" ht="16.5" customHeight="1">
      <c r="A142" s="10"/>
      <c r="B142" s="16"/>
      <c r="C142" s="16">
        <v>3</v>
      </c>
      <c r="D142" s="16"/>
      <c r="E142" s="16"/>
      <c r="F142" s="16">
        <f>INDEX(Data!B253:B257,C142)</f>
        <v>0</v>
      </c>
      <c r="G142" s="16"/>
      <c r="H142" s="16"/>
      <c r="I142" s="16"/>
      <c r="J142" s="48">
        <f>INDEX(Data!F253:F257,C142)</f>
        <v>0</v>
      </c>
      <c r="K142" s="16"/>
      <c r="L142" s="16"/>
      <c r="M142" s="16"/>
      <c r="N142" s="11"/>
    </row>
    <row r="143" spans="1:14" ht="16.5" customHeight="1">
      <c r="A143" s="29" t="s">
        <v>152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1"/>
    </row>
    <row r="144" spans="1:14" ht="16.5" customHeight="1">
      <c r="A144" s="10" t="s">
        <v>153</v>
      </c>
      <c r="B144" s="16"/>
      <c r="C144" s="16">
        <v>1</v>
      </c>
      <c r="D144" s="16"/>
      <c r="E144" s="16"/>
      <c r="F144" s="16">
        <f>IF(C144-1,0.05,0)</f>
        <v>0</v>
      </c>
      <c r="G144" s="16"/>
      <c r="H144" s="16"/>
      <c r="I144" s="16"/>
      <c r="J144" s="16"/>
      <c r="K144" s="16"/>
      <c r="L144" s="16"/>
      <c r="M144" s="16"/>
      <c r="N144" s="11"/>
    </row>
    <row r="145" spans="1:14" ht="16.5" customHeight="1">
      <c r="A145" s="10" t="s">
        <v>154</v>
      </c>
      <c r="B145" s="16"/>
      <c r="C145" s="16">
        <v>1</v>
      </c>
      <c r="D145" s="16"/>
      <c r="E145" s="16"/>
      <c r="F145" s="16">
        <f>IF(C145-1,0.05,0)</f>
        <v>0</v>
      </c>
      <c r="G145" s="16"/>
      <c r="H145" s="16"/>
      <c r="I145" s="16"/>
      <c r="J145" s="16"/>
      <c r="K145" s="16"/>
      <c r="L145" s="16"/>
      <c r="M145" s="16"/>
      <c r="N145" s="11"/>
    </row>
    <row r="146" spans="1:14" ht="16.5" customHeight="1">
      <c r="A146" s="10" t="s">
        <v>155</v>
      </c>
      <c r="B146" s="16"/>
      <c r="C146" s="16">
        <v>1</v>
      </c>
      <c r="D146" s="16"/>
      <c r="E146" s="16"/>
      <c r="F146" s="16">
        <f>IF(C146-1,0.05,0)</f>
        <v>0</v>
      </c>
      <c r="G146" s="16"/>
      <c r="H146" s="16"/>
      <c r="I146" s="16"/>
      <c r="J146" s="16"/>
      <c r="K146" s="16"/>
      <c r="L146" s="16"/>
      <c r="M146" s="16"/>
      <c r="N146" s="11"/>
    </row>
    <row r="147" spans="1:14" ht="16.5" customHeight="1">
      <c r="A147" s="10" t="s">
        <v>156</v>
      </c>
      <c r="B147" s="16"/>
      <c r="C147" s="16">
        <v>1</v>
      </c>
      <c r="D147" s="16"/>
      <c r="E147" s="16"/>
      <c r="F147" s="16">
        <f>IF(C147-1,0.05,0)</f>
        <v>0</v>
      </c>
      <c r="G147" s="16"/>
      <c r="H147" s="16"/>
      <c r="I147" s="16"/>
      <c r="J147" s="16"/>
      <c r="K147" s="16"/>
      <c r="L147" s="16"/>
      <c r="M147" s="16"/>
      <c r="N147" s="11"/>
    </row>
    <row r="148" spans="1:14" ht="16.5" customHeight="1">
      <c r="A148" s="10" t="s">
        <v>25</v>
      </c>
      <c r="B148" s="16"/>
      <c r="C148" s="16">
        <v>1</v>
      </c>
      <c r="D148" s="16"/>
      <c r="E148" s="16"/>
      <c r="F148" s="16">
        <f>IF(C148-1,0.05,0)</f>
        <v>0</v>
      </c>
      <c r="G148" s="16"/>
      <c r="H148" s="16"/>
      <c r="I148" s="16"/>
      <c r="J148" s="16"/>
      <c r="K148" s="16"/>
      <c r="L148" s="16"/>
      <c r="M148" s="16"/>
      <c r="N148" s="11"/>
    </row>
    <row r="149" spans="1:14" ht="16.5" customHeight="1">
      <c r="A149" s="10" t="s">
        <v>157</v>
      </c>
      <c r="B149" s="16"/>
      <c r="C149" s="16">
        <v>1</v>
      </c>
      <c r="D149" s="16"/>
      <c r="E149" s="16"/>
      <c r="F149" s="16">
        <f>IF(C149-1,0.1,0)</f>
        <v>0</v>
      </c>
      <c r="G149" s="16"/>
      <c r="H149" s="16"/>
      <c r="I149" s="16"/>
      <c r="J149" s="16"/>
      <c r="K149" s="16"/>
      <c r="L149" s="16"/>
      <c r="M149" s="16"/>
      <c r="N149" s="11"/>
    </row>
    <row r="150" spans="1:14" ht="16.5" customHeight="1">
      <c r="A150" s="10" t="s">
        <v>158</v>
      </c>
      <c r="B150" s="16"/>
      <c r="C150" s="16">
        <v>1</v>
      </c>
      <c r="D150" s="16"/>
      <c r="E150" s="16"/>
      <c r="F150" s="16">
        <f>IF(C150-1,0.1,0)</f>
        <v>0</v>
      </c>
      <c r="G150" s="16"/>
      <c r="H150" s="16"/>
      <c r="I150" s="16"/>
      <c r="J150" s="16"/>
      <c r="K150" s="16"/>
      <c r="L150" s="16"/>
      <c r="M150" s="16"/>
      <c r="N150" s="11"/>
    </row>
    <row r="151" spans="1:14" ht="16.5" customHeight="1">
      <c r="A151" s="10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1"/>
    </row>
    <row r="152" spans="1:14" ht="16.5" customHeight="1">
      <c r="A152" s="29" t="s">
        <v>159</v>
      </c>
      <c r="B152" s="16"/>
      <c r="C152" s="16"/>
      <c r="D152" s="16"/>
      <c r="E152" s="16"/>
      <c r="F152" s="16"/>
      <c r="G152" s="16"/>
      <c r="H152" s="16" t="s">
        <v>160</v>
      </c>
      <c r="I152" s="16"/>
      <c r="J152" s="37" t="s">
        <v>115</v>
      </c>
      <c r="K152" s="37" t="s">
        <v>24</v>
      </c>
      <c r="L152" s="16"/>
      <c r="M152" s="16"/>
      <c r="N152" s="11"/>
    </row>
    <row r="153" spans="1:14" ht="16.5" customHeight="1">
      <c r="A153" s="10">
        <v>1</v>
      </c>
      <c r="B153" s="16"/>
      <c r="C153" s="16"/>
      <c r="D153" s="16"/>
      <c r="E153" s="16"/>
      <c r="F153" s="16">
        <f>INDEX(Data!B269:B279,A153)</f>
        <v>0</v>
      </c>
      <c r="G153" s="16"/>
      <c r="H153" s="16">
        <f>INDEX(Data!C269:C279,A153)</f>
        <v>0</v>
      </c>
      <c r="I153" s="16"/>
      <c r="J153" s="145">
        <v>0</v>
      </c>
      <c r="K153" s="16">
        <f>J153*0.5</f>
        <v>0</v>
      </c>
      <c r="L153" s="16"/>
      <c r="M153" s="16"/>
      <c r="N153" s="11"/>
    </row>
    <row r="154" spans="1:14" ht="16.5" customHeight="1">
      <c r="A154" s="10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1"/>
    </row>
    <row r="155" spans="1:14" ht="16.5" customHeight="1">
      <c r="A155" s="29" t="s">
        <v>161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1"/>
    </row>
    <row r="156" spans="1:14" ht="16.5" customHeight="1">
      <c r="A156" s="10">
        <v>1</v>
      </c>
      <c r="B156" s="16"/>
      <c r="C156" s="16"/>
      <c r="D156" s="16"/>
      <c r="E156" s="16"/>
      <c r="F156" s="16">
        <f>INDEX(Data!B282:B285,A156)</f>
        <v>0</v>
      </c>
      <c r="G156" s="16"/>
      <c r="H156" s="16"/>
      <c r="I156" s="16"/>
      <c r="J156" s="16"/>
      <c r="K156" s="16"/>
      <c r="L156" s="16"/>
      <c r="M156" s="16"/>
      <c r="N156" s="11"/>
    </row>
    <row r="157" spans="1:14" ht="16.5" customHeight="1">
      <c r="A157" s="10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1"/>
    </row>
    <row r="158" spans="1:14" ht="16.5" customHeight="1">
      <c r="A158" s="29" t="s">
        <v>162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1"/>
    </row>
    <row r="159" spans="1:14" ht="16.5" customHeight="1">
      <c r="A159" s="10"/>
      <c r="B159" s="16" t="s">
        <v>163</v>
      </c>
      <c r="C159" s="16">
        <v>1</v>
      </c>
      <c r="D159" s="16"/>
      <c r="E159" s="16"/>
      <c r="F159" s="16">
        <f>INDEX(Data!B289:B299,C159)</f>
        <v>0</v>
      </c>
      <c r="G159" s="16"/>
      <c r="H159" s="16"/>
      <c r="I159" s="16"/>
      <c r="J159" s="16"/>
      <c r="K159" s="16"/>
      <c r="L159" s="16"/>
      <c r="M159" s="16"/>
      <c r="N159" s="11"/>
    </row>
    <row r="160" spans="1:14" ht="16.5" customHeight="1">
      <c r="A160" s="10"/>
      <c r="B160" s="16" t="s">
        <v>164</v>
      </c>
      <c r="C160" s="16">
        <v>1</v>
      </c>
      <c r="D160" s="16"/>
      <c r="E160" s="16"/>
      <c r="F160" s="16">
        <f>INDEX(Data!D289:D299,C160)</f>
        <v>0</v>
      </c>
      <c r="G160" s="16"/>
      <c r="H160" s="16"/>
      <c r="I160" s="16"/>
      <c r="J160" s="16"/>
      <c r="K160" s="16"/>
      <c r="L160" s="16"/>
      <c r="M160" s="16"/>
      <c r="N160" s="11"/>
    </row>
    <row r="161" spans="1:14" ht="16.5" customHeight="1">
      <c r="A161" s="10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1"/>
    </row>
    <row r="162" spans="1:14" ht="16.5" customHeight="1">
      <c r="A162" s="29" t="s">
        <v>165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1"/>
    </row>
    <row r="163" spans="1:14" ht="16.5" customHeight="1">
      <c r="A163" s="10">
        <v>1</v>
      </c>
      <c r="B163" s="16"/>
      <c r="C163" s="16"/>
      <c r="D163" s="16"/>
      <c r="E163" s="16"/>
      <c r="F163" s="16">
        <f>INDEX(Data!$H$289:$H$296,A163)</f>
        <v>0</v>
      </c>
      <c r="G163" s="16"/>
      <c r="H163" s="16"/>
      <c r="I163" s="16"/>
      <c r="J163" s="16"/>
      <c r="K163" s="16"/>
      <c r="L163" s="16"/>
      <c r="M163" s="16"/>
      <c r="N163" s="11"/>
    </row>
    <row r="164" spans="1:14" ht="16.5" customHeight="1">
      <c r="A164" s="10">
        <v>1</v>
      </c>
      <c r="B164" s="16"/>
      <c r="C164" s="16"/>
      <c r="D164" s="16"/>
      <c r="E164" s="16"/>
      <c r="F164" s="16">
        <f>INDEX(Data!$H$289:$H$296,A164)</f>
        <v>0</v>
      </c>
      <c r="G164" s="16"/>
      <c r="H164" s="16"/>
      <c r="I164" s="16"/>
      <c r="J164" s="16"/>
      <c r="K164" s="16"/>
      <c r="L164" s="16"/>
      <c r="M164" s="16"/>
      <c r="N164" s="11"/>
    </row>
    <row r="165" spans="1:14" ht="16.5" customHeight="1">
      <c r="A165" s="10">
        <v>1</v>
      </c>
      <c r="B165" s="16"/>
      <c r="C165" s="16"/>
      <c r="D165" s="16"/>
      <c r="E165" s="16"/>
      <c r="F165" s="16">
        <f>INDEX(Data!$H$289:$H$296,A165)</f>
        <v>0</v>
      </c>
      <c r="G165" s="16"/>
      <c r="H165" s="16"/>
      <c r="I165" s="16"/>
      <c r="J165" s="16"/>
      <c r="K165" s="16"/>
      <c r="L165" s="16"/>
      <c r="M165" s="16"/>
      <c r="N165" s="11"/>
    </row>
    <row r="166" spans="1:14" ht="16.5" customHeight="1">
      <c r="A166" s="29" t="s">
        <v>674</v>
      </c>
      <c r="B166" s="16">
        <v>1</v>
      </c>
      <c r="C166" s="16"/>
      <c r="D166" s="16"/>
      <c r="E166" s="16"/>
      <c r="F166" s="16">
        <f>IF(B166=2,0.2,0)</f>
        <v>0</v>
      </c>
      <c r="G166" s="16"/>
      <c r="H166" s="16"/>
      <c r="I166" s="16"/>
      <c r="J166" s="16"/>
      <c r="K166" s="16"/>
      <c r="L166" s="16"/>
      <c r="M166" s="16"/>
      <c r="N166" s="11"/>
    </row>
    <row r="167" spans="1:14" ht="16.5" customHeight="1">
      <c r="A167" s="29" t="s">
        <v>166</v>
      </c>
      <c r="B167" s="16"/>
      <c r="C167" s="16"/>
      <c r="D167" s="16"/>
      <c r="E167" s="16"/>
      <c r="F167" s="16"/>
      <c r="G167" s="16"/>
      <c r="H167" s="16" t="s">
        <v>25</v>
      </c>
      <c r="I167" s="16"/>
      <c r="J167" s="16" t="s">
        <v>115</v>
      </c>
      <c r="K167" s="37" t="s">
        <v>24</v>
      </c>
      <c r="L167" s="16"/>
      <c r="M167" s="16"/>
      <c r="N167" s="11"/>
    </row>
    <row r="168" spans="1:14" ht="16.5" customHeight="1">
      <c r="A168" s="10">
        <v>1</v>
      </c>
      <c r="B168" s="16"/>
      <c r="C168" s="16">
        <v>1</v>
      </c>
      <c r="D168" s="16"/>
      <c r="E168" s="16">
        <f>INDEX(Data!G303:G304,C168)</f>
        <v>1</v>
      </c>
      <c r="F168" s="16">
        <f>INDEX(Data!B302:B312,A168)*E168</f>
        <v>0</v>
      </c>
      <c r="G168" s="16"/>
      <c r="H168" s="16">
        <f>A168-1</f>
        <v>0</v>
      </c>
      <c r="I168" s="16"/>
      <c r="J168" s="145">
        <v>0</v>
      </c>
      <c r="K168" s="16">
        <f>J168*0.5</f>
        <v>0</v>
      </c>
      <c r="L168" s="16"/>
      <c r="M168" s="16"/>
      <c r="N168" s="11"/>
    </row>
    <row r="169" spans="1:14" ht="16.5" customHeight="1">
      <c r="A169" s="10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1"/>
    </row>
    <row r="170" spans="1:14" ht="16.5" customHeight="1">
      <c r="A170" s="29" t="s">
        <v>167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1"/>
    </row>
    <row r="171" spans="1:14" ht="16.5" customHeight="1">
      <c r="A171" s="10">
        <v>1</v>
      </c>
      <c r="B171" s="16"/>
      <c r="C171" s="16" t="s">
        <v>164</v>
      </c>
      <c r="D171" s="16"/>
      <c r="E171" s="16">
        <v>1</v>
      </c>
      <c r="F171" s="16"/>
      <c r="G171" s="16" t="s">
        <v>160</v>
      </c>
      <c r="H171" s="16">
        <v>1</v>
      </c>
      <c r="I171" s="16" t="s">
        <v>168</v>
      </c>
      <c r="J171" s="16">
        <v>1</v>
      </c>
      <c r="K171" s="16"/>
      <c r="L171" s="16"/>
      <c r="M171" s="16"/>
      <c r="N171" s="11"/>
    </row>
    <row r="172" spans="1:14" ht="16.5" customHeight="1">
      <c r="A172" s="10" t="s">
        <v>169</v>
      </c>
      <c r="B172" s="16">
        <v>1</v>
      </c>
      <c r="C172" s="16"/>
      <c r="D172" s="16"/>
      <c r="E172" s="16"/>
      <c r="F172" s="16">
        <f>G172*H172*I172*J172*K172</f>
        <v>0</v>
      </c>
      <c r="G172" s="52">
        <f>INDEX(Data!B315:B325,A171)</f>
        <v>0</v>
      </c>
      <c r="H172" s="52">
        <f>INDEX(Data!D316:D324,E171)</f>
        <v>0.5</v>
      </c>
      <c r="I172" s="52">
        <f>INDEX(Data!J316:J320,H171)</f>
        <v>2</v>
      </c>
      <c r="J172" s="52">
        <f>INDEX(Data!F316:F323,J171)</f>
        <v>2</v>
      </c>
      <c r="K172" s="52">
        <f>INDEX(Data!H316:H319,B172)</f>
        <v>1.3</v>
      </c>
      <c r="L172" s="16"/>
      <c r="M172" s="16"/>
      <c r="N172" s="11"/>
    </row>
    <row r="173" spans="1:14" ht="16.5" customHeight="1">
      <c r="A173" s="10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1"/>
    </row>
    <row r="174" spans="1:14" ht="16.5" customHeight="1">
      <c r="A174" s="29" t="s">
        <v>93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1"/>
    </row>
    <row r="175" spans="1:14" ht="16.5" customHeight="1">
      <c r="A175" s="10">
        <v>1</v>
      </c>
      <c r="B175" s="16"/>
      <c r="C175" s="16"/>
      <c r="D175" s="16"/>
      <c r="E175" s="16"/>
      <c r="F175" s="16">
        <f>IF(A175-1,0.5,0)</f>
        <v>0</v>
      </c>
      <c r="G175" s="16"/>
      <c r="H175" s="16"/>
      <c r="I175" s="16"/>
      <c r="J175" s="16"/>
      <c r="K175" s="16"/>
      <c r="L175" s="16"/>
      <c r="M175" s="16"/>
      <c r="N175" s="11"/>
    </row>
    <row r="176" spans="1:14" ht="16.5" customHeight="1">
      <c r="A176" s="10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1"/>
    </row>
    <row r="177" spans="1:14" ht="16.5" customHeight="1">
      <c r="A177" s="29" t="s">
        <v>170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1"/>
    </row>
    <row r="178" spans="1:14" ht="16.5" customHeight="1">
      <c r="A178" s="10">
        <v>1</v>
      </c>
      <c r="B178" s="16"/>
      <c r="C178" s="48">
        <f>INDEX(Data!$D$328:$D$329,E178)</f>
        <v>1</v>
      </c>
      <c r="D178" s="48"/>
      <c r="E178" s="16">
        <v>1</v>
      </c>
      <c r="F178" s="16">
        <f>INDEX(Data!$B$328:$B$331,A178)*C178</f>
        <v>0</v>
      </c>
      <c r="G178" s="16"/>
      <c r="H178" s="16"/>
      <c r="I178" s="16"/>
      <c r="J178" s="16"/>
      <c r="K178" s="16"/>
      <c r="L178" s="16"/>
      <c r="M178" s="16"/>
      <c r="N178" s="11"/>
    </row>
    <row r="179" spans="1:14" ht="16.5" customHeight="1">
      <c r="A179" s="10">
        <v>1</v>
      </c>
      <c r="B179" s="16"/>
      <c r="C179" s="48">
        <f>INDEX(Data!$D$328:$D$329,E179)</f>
        <v>1</v>
      </c>
      <c r="D179" s="48"/>
      <c r="E179" s="16">
        <v>1</v>
      </c>
      <c r="F179" s="16">
        <f>INDEX(Data!$B$328:$B$331,A179)*C179</f>
        <v>0</v>
      </c>
      <c r="G179" s="16"/>
      <c r="H179" s="16"/>
      <c r="I179" s="16"/>
      <c r="J179" s="16"/>
      <c r="K179" s="16"/>
      <c r="L179" s="16"/>
      <c r="M179" s="16"/>
      <c r="N179" s="11"/>
    </row>
    <row r="180" spans="1:14" ht="16.5" customHeight="1">
      <c r="A180" s="10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1"/>
    </row>
    <row r="181" spans="1:14" ht="16.5" customHeight="1">
      <c r="A181" s="29" t="s">
        <v>171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1"/>
    </row>
    <row r="182" spans="1:14" ht="16.5" customHeight="1">
      <c r="A182" s="10">
        <v>1</v>
      </c>
      <c r="B182" s="16"/>
      <c r="C182" s="16"/>
      <c r="D182" s="16"/>
      <c r="E182" s="16"/>
      <c r="F182" s="16">
        <f>INDEX(Data!C334:C338,A182)</f>
        <v>0</v>
      </c>
      <c r="G182" s="16"/>
      <c r="H182" s="16"/>
      <c r="I182" s="16"/>
      <c r="J182" s="16"/>
      <c r="K182" s="16"/>
      <c r="L182" s="16"/>
      <c r="M182" s="16"/>
      <c r="N182" s="11"/>
    </row>
    <row r="183" spans="1:14" ht="16.5" customHeight="1">
      <c r="A183" s="10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1"/>
    </row>
    <row r="184" spans="1:14" ht="16.5" customHeight="1">
      <c r="A184" s="29" t="s">
        <v>172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1"/>
    </row>
    <row r="185" spans="1:14" ht="16.5" customHeight="1">
      <c r="A185" s="10">
        <v>1</v>
      </c>
      <c r="B185" s="16"/>
      <c r="C185" s="16"/>
      <c r="D185" s="16"/>
      <c r="E185" s="16"/>
      <c r="F185" s="16">
        <f>INDEX(Data!B340:B342,A185)</f>
        <v>0</v>
      </c>
      <c r="G185" s="16"/>
      <c r="H185" s="16"/>
      <c r="I185" s="16"/>
      <c r="J185" s="16"/>
      <c r="K185" s="16"/>
      <c r="L185" s="16"/>
      <c r="M185" s="16"/>
      <c r="N185" s="11"/>
    </row>
    <row r="186" spans="1:14" ht="16.5" customHeight="1">
      <c r="A186" s="10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1"/>
    </row>
    <row r="187" spans="1:14" ht="16.5" customHeight="1">
      <c r="A187" s="29" t="s">
        <v>173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1"/>
    </row>
    <row r="188" spans="1:14" ht="16.5" customHeight="1">
      <c r="A188" s="10">
        <v>1</v>
      </c>
      <c r="B188" s="16"/>
      <c r="C188" s="165" t="s">
        <v>174</v>
      </c>
      <c r="D188" s="165"/>
      <c r="E188" s="16">
        <v>1</v>
      </c>
      <c r="F188" s="16">
        <f>IF(D188-1,INDEX(Data!C345:C352,A188)*5,INDEX(Data!C345:C352,A188))</f>
        <v>0</v>
      </c>
      <c r="G188" s="16"/>
      <c r="H188" s="16"/>
      <c r="I188" s="16"/>
      <c r="J188" s="16"/>
      <c r="K188" s="16"/>
      <c r="L188" s="16"/>
      <c r="M188" s="16"/>
      <c r="N188" s="11"/>
    </row>
    <row r="189" spans="1:14" ht="16.5" customHeight="1">
      <c r="A189" s="10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1"/>
    </row>
    <row r="190" spans="1:14" ht="16.5" customHeight="1">
      <c r="A190" s="29" t="s">
        <v>175</v>
      </c>
      <c r="B190" s="16"/>
      <c r="C190" s="16" t="s">
        <v>664</v>
      </c>
      <c r="D190" s="16" t="s">
        <v>665</v>
      </c>
      <c r="E190" s="35" t="s">
        <v>666</v>
      </c>
      <c r="F190" s="35" t="s">
        <v>668</v>
      </c>
      <c r="G190" s="35" t="s">
        <v>667</v>
      </c>
      <c r="H190" s="16"/>
      <c r="I190" s="16"/>
      <c r="J190" s="16"/>
      <c r="K190" s="16"/>
      <c r="L190" s="16"/>
      <c r="M190" s="16"/>
      <c r="N190" s="11"/>
    </row>
    <row r="191" spans="1:14" ht="16.5" customHeight="1">
      <c r="A191" s="10" t="s">
        <v>176</v>
      </c>
      <c r="B191" s="16"/>
      <c r="C191" s="16"/>
      <c r="D191" s="16"/>
      <c r="E191" s="16"/>
      <c r="F191" s="16"/>
      <c r="G191" s="16"/>
      <c r="H191" s="48" t="s">
        <v>4</v>
      </c>
      <c r="I191" s="48" t="s">
        <v>120</v>
      </c>
      <c r="J191" s="48" t="s">
        <v>125</v>
      </c>
      <c r="K191" s="62" t="s">
        <v>177</v>
      </c>
      <c r="L191" s="62" t="s">
        <v>178</v>
      </c>
      <c r="M191" s="62" t="s">
        <v>669</v>
      </c>
      <c r="N191" s="141" t="s">
        <v>670</v>
      </c>
    </row>
    <row r="192" spans="1:14" ht="16.5" customHeight="1">
      <c r="A192" s="10">
        <v>3</v>
      </c>
      <c r="B192" s="16"/>
      <c r="C192" s="64" t="s">
        <v>663</v>
      </c>
      <c r="D192" s="16">
        <v>5</v>
      </c>
      <c r="E192" s="16"/>
      <c r="F192" s="16">
        <f>INDEX(Data!$C$355:$C$367,A192)</f>
        <v>0</v>
      </c>
      <c r="G192" s="16"/>
      <c r="H192" s="48">
        <f>INDEX(Data!$D$355:$D$367,A192)</f>
        <v>0</v>
      </c>
      <c r="I192" s="48">
        <f>INDEX(Data!$D$355:$D$367,A192)</f>
        <v>0</v>
      </c>
      <c r="J192" s="48">
        <f>INDEX(Data!$F$355:$F$367,A192)</f>
        <v>1</v>
      </c>
      <c r="K192" s="48">
        <f>INDEX(Data!$G$355:$G$367,A192)</f>
        <v>0</v>
      </c>
      <c r="L192" s="48">
        <f>INDEX(Data!$H$355:$H$367,A192)</f>
        <v>0</v>
      </c>
      <c r="M192" s="16">
        <f>IF(N193=TRUE,0,(K192+MAX(C193,D193,E193,F193,H193)))</f>
        <v>0</v>
      </c>
      <c r="N192" s="11">
        <f>MAX(J193,L193,I193)*J192</f>
        <v>0</v>
      </c>
    </row>
    <row r="193" spans="1:14" ht="16.5" customHeight="1">
      <c r="A193" s="10" t="s">
        <v>179</v>
      </c>
      <c r="B193" s="16"/>
      <c r="C193" s="142">
        <f>IF(D192=1,IF(A192&lt;10,$E$83-1,0),0)</f>
        <v>0</v>
      </c>
      <c r="D193" s="142">
        <f>IF(D192=2,IF(A192&lt;6,$E$84-1,0),0)</f>
        <v>0</v>
      </c>
      <c r="E193" s="142">
        <f>IF(D192=3,IF(A192&lt;10,$E$85-1,0),0)</f>
        <v>0</v>
      </c>
      <c r="F193" s="142">
        <f>IF(D192=4,IF(A192&lt;13,$E$86-1,0),0)</f>
        <v>0</v>
      </c>
      <c r="G193" s="16" t="b">
        <f>OR(A192&lt;3,AND(A192&gt;9,A192&lt;13))</f>
        <v>0</v>
      </c>
      <c r="H193" s="48">
        <f>IF(D192=5,IF(G193="TRUE",$G$29,0),0)</f>
        <v>0</v>
      </c>
      <c r="I193" s="48">
        <f>IF(AND(J193=FALSE,K193=FALSE),MAX(C193,D193,E193,F193),FALSE)</f>
        <v>0</v>
      </c>
      <c r="J193" s="48" t="b">
        <f>IF(A192=8,L192+MAX(C193,D193,E193,F193),IF(A192=9,L192+MAX(C193,D193,E193,F193),FALSE))</f>
        <v>0</v>
      </c>
      <c r="K193" s="48" t="b">
        <f>AND(OR(A192=10,A192=11,A192=12),F193&gt;0)</f>
        <v>0</v>
      </c>
      <c r="L193" s="48">
        <f>IF(K193=TRUE,1,0)</f>
        <v>0</v>
      </c>
      <c r="M193" s="16" t="b">
        <f>AND(A192=7,$B$19&gt;1,$B$20&gt;1)</f>
        <v>0</v>
      </c>
      <c r="N193" s="11" t="b">
        <f>OR(AND(M193=FALSE,A192=7),A192=2,A192=6,A192=8,A192=9)</f>
        <v>0</v>
      </c>
    </row>
    <row r="194" spans="1:14" ht="16.5" customHeight="1">
      <c r="A194" s="10">
        <v>14</v>
      </c>
      <c r="B194" s="16"/>
      <c r="C194" s="64" t="s">
        <v>663</v>
      </c>
      <c r="D194" s="16">
        <v>5</v>
      </c>
      <c r="E194" s="16"/>
      <c r="F194" s="16">
        <f>INDEX(Data!$C$355:$C$368,A194)</f>
        <v>0</v>
      </c>
      <c r="G194" s="16"/>
      <c r="H194" s="48">
        <f>INDEX(Data!$D$355:$D$368,A194)</f>
        <v>0</v>
      </c>
      <c r="I194" s="48">
        <f>INDEX(Data!$D$355:$D$368,A194)</f>
        <v>0</v>
      </c>
      <c r="J194" s="48">
        <f>INDEX(Data!$F$355:$F$368,A194)</f>
        <v>0</v>
      </c>
      <c r="K194" s="48">
        <f>INDEX(Data!$G$355:$G$368,A194)</f>
        <v>0</v>
      </c>
      <c r="L194" s="48">
        <f>INDEX(Data!$H$355:$H$368,A194)</f>
        <v>0</v>
      </c>
      <c r="M194" s="16">
        <f>IF(N195=TRUE,0,(K194+MAX(C195,D195,E195,F195,H195)))</f>
        <v>0</v>
      </c>
      <c r="N194" s="11">
        <f>MAX(J195,L195,I195)*J194</f>
        <v>0</v>
      </c>
    </row>
    <row r="195" spans="1:14" ht="16.5" customHeight="1">
      <c r="A195" s="10" t="s">
        <v>180</v>
      </c>
      <c r="B195" s="16"/>
      <c r="C195" s="142">
        <f>IF(D194=1,IF(A194&lt;10,$E$83-1,0),0)</f>
        <v>0</v>
      </c>
      <c r="D195" s="142">
        <f>IF(D194=2,IF(A194&lt;6,$E$84-1,0),0)</f>
        <v>0</v>
      </c>
      <c r="E195" s="142">
        <f>IF(D194=3,IF(A194&lt;10,$E$85-1,0),0)</f>
        <v>0</v>
      </c>
      <c r="F195" s="142">
        <f>IF(D194=4,IF(A194&lt;13,$E$86-1,0),0)</f>
        <v>0</v>
      </c>
      <c r="G195" s="16" t="b">
        <f>OR(A194&lt;3,AND(A194&gt;9,A194&lt;13))</f>
        <v>0</v>
      </c>
      <c r="H195" s="48">
        <f>IF(D194=5,IF(G195="TRUE",$G$29,0),0)</f>
        <v>0</v>
      </c>
      <c r="I195" s="48">
        <f>IF(AND(J195=FALSE,K195=FALSE),MAX(C195,D195,E195,F195),FALSE)</f>
        <v>0</v>
      </c>
      <c r="J195" s="48" t="b">
        <f>IF(A194=8,L194+MAX(C195,D195,E195,F195),IF(A194=9,L194+MAX(C195,D195,E195,F195),FALSE))</f>
        <v>0</v>
      </c>
      <c r="K195" s="48" t="b">
        <f>AND(OR(A194=10,A194=11,A194=12),F195&gt;0)</f>
        <v>0</v>
      </c>
      <c r="L195" s="48">
        <f>IF(K195=TRUE,1,0)</f>
        <v>0</v>
      </c>
      <c r="M195" s="16" t="b">
        <f>AND(A194=7,$B$19&gt;1,$B$20&gt;1)</f>
        <v>0</v>
      </c>
      <c r="N195" s="11" t="b">
        <f>OR(AND(M195=FALSE,A194=7),A194=2,A194=6,A194=8,A194=9)</f>
        <v>0</v>
      </c>
    </row>
    <row r="196" spans="1:14" ht="16.5" customHeight="1">
      <c r="A196" s="10">
        <v>14</v>
      </c>
      <c r="B196" s="16"/>
      <c r="C196" s="64" t="s">
        <v>663</v>
      </c>
      <c r="D196" s="16">
        <v>5</v>
      </c>
      <c r="E196" s="16"/>
      <c r="F196" s="16">
        <f>INDEX(Data!$C$355:$C$368,A196)</f>
        <v>0</v>
      </c>
      <c r="G196" s="16"/>
      <c r="H196" s="48">
        <f>INDEX(Data!$D$355:$D$368,A196)</f>
        <v>0</v>
      </c>
      <c r="I196" s="48">
        <f>INDEX(Data!$D$355:$D$368,A196)</f>
        <v>0</v>
      </c>
      <c r="J196" s="48">
        <f>INDEX(Data!$F$355:$F$368,A196)</f>
        <v>0</v>
      </c>
      <c r="K196" s="48">
        <f>INDEX(Data!$G$355:$G$368,A196)</f>
        <v>0</v>
      </c>
      <c r="L196" s="48">
        <f>INDEX(Data!$H$355:$H$368,A196)</f>
        <v>0</v>
      </c>
      <c r="M196" s="16">
        <f>IF(N197=TRUE,0,(K196+MAX(C197,D197,E197,F197,H197)))</f>
        <v>0</v>
      </c>
      <c r="N196" s="11">
        <f>MAX(J197,L197,I197)*J196</f>
        <v>0</v>
      </c>
    </row>
    <row r="197" spans="1:14" ht="16.5" customHeight="1">
      <c r="A197" s="10" t="s">
        <v>181</v>
      </c>
      <c r="B197" s="16"/>
      <c r="C197" s="142">
        <f>IF(D196=1,IF(A196&lt;10,$E$83-1,0),0)</f>
        <v>0</v>
      </c>
      <c r="D197" s="142">
        <f>IF(D196=2,IF(A196&lt;6,$E$84-1,0),0)</f>
        <v>0</v>
      </c>
      <c r="E197" s="142">
        <f>IF(D196=3,IF(A196&lt;10,$E$85-1,0),0)</f>
        <v>0</v>
      </c>
      <c r="F197" s="142">
        <f>IF(D196=4,IF(A196&lt;13,$E$86-1,0),0)</f>
        <v>0</v>
      </c>
      <c r="G197" s="16" t="b">
        <f>OR(A196&lt;3,AND(A196&gt;9,A196&lt;13))</f>
        <v>0</v>
      </c>
      <c r="H197" s="48">
        <f>IF(D196=5,IF(G197="TRUE",$G$29,0),0)</f>
        <v>0</v>
      </c>
      <c r="I197" s="48">
        <f>IF(AND(J197=FALSE,K197=FALSE),MAX(C197,D197,E197,F197),FALSE)</f>
        <v>0</v>
      </c>
      <c r="J197" s="48" t="b">
        <f>IF(A196=8,L196+MAX(C197,D197,E197,F197),IF(A196=9,L196+MAX(C197,D197,E197,F197),FALSE))</f>
        <v>0</v>
      </c>
      <c r="K197" s="48" t="b">
        <f>AND(OR(A196=10,A196=11,A196=12),F197&gt;0)</f>
        <v>0</v>
      </c>
      <c r="L197" s="48">
        <f>IF(K197=TRUE,1,0)</f>
        <v>0</v>
      </c>
      <c r="M197" s="16" t="b">
        <f>AND(A196=7,$B$19&gt;1,$B$20&gt;1)</f>
        <v>0</v>
      </c>
      <c r="N197" s="11" t="b">
        <f>OR(AND(M197=FALSE,A196=7),A196=2,A196=6,A196=8,A196=9)</f>
        <v>0</v>
      </c>
    </row>
    <row r="198" spans="1:14" ht="16.5" customHeight="1">
      <c r="A198" s="10">
        <v>14</v>
      </c>
      <c r="B198" s="16"/>
      <c r="C198" s="64" t="s">
        <v>663</v>
      </c>
      <c r="D198" s="16">
        <v>5</v>
      </c>
      <c r="E198" s="16"/>
      <c r="F198" s="16">
        <f>INDEX(Data!$C$355:$C$368,A198)</f>
        <v>0</v>
      </c>
      <c r="G198" s="16"/>
      <c r="H198" s="48">
        <f>INDEX(Data!$D$355:$D$368,A198)</f>
        <v>0</v>
      </c>
      <c r="I198" s="48">
        <f>INDEX(Data!$D$355:$D$368,A198)</f>
        <v>0</v>
      </c>
      <c r="J198" s="48">
        <f>INDEX(Data!$F$355:$F$368,A198)</f>
        <v>0</v>
      </c>
      <c r="K198" s="48">
        <f>INDEX(Data!$G$355:$G$368,A198)</f>
        <v>0</v>
      </c>
      <c r="L198" s="48">
        <f>INDEX(Data!$H$355:$H$368,A198)</f>
        <v>0</v>
      </c>
      <c r="M198" s="16">
        <f>IF(N199=TRUE,0,(K198+MAX(C199,D199,E199,F199,H199)))</f>
        <v>0</v>
      </c>
      <c r="N198" s="11">
        <f>MAX(J199,L199,I199)*J198</f>
        <v>0</v>
      </c>
    </row>
    <row r="199" spans="1:14" ht="16.5" customHeight="1">
      <c r="A199" s="10"/>
      <c r="B199" s="16"/>
      <c r="C199" s="142">
        <f>IF(D198=1,IF(A198&lt;10,$E$83-1,0),0)</f>
        <v>0</v>
      </c>
      <c r="D199" s="142">
        <f>IF(D198=2,IF(A198&lt;6,$E$84-1,0),0)</f>
        <v>0</v>
      </c>
      <c r="E199" s="142">
        <f>IF(D198=3,IF(A198&lt;10,$E$85-1,0),0)</f>
        <v>0</v>
      </c>
      <c r="F199" s="142">
        <f>IF(D198=4,IF(A198&lt;13,$E$86-1,0),0)</f>
        <v>0</v>
      </c>
      <c r="G199" s="16" t="b">
        <f>OR(A198&lt;3,AND(A198&gt;9,A198&lt;13))</f>
        <v>0</v>
      </c>
      <c r="H199" s="48">
        <f>IF(D198=5,IF(G199="TRUE",$G$29,0),0)</f>
        <v>0</v>
      </c>
      <c r="I199" s="48">
        <f>IF(AND(J199=FALSE,K199=FALSE),MAX(C199,D199,E199,F199),FALSE)</f>
        <v>0</v>
      </c>
      <c r="J199" s="48" t="b">
        <f>IF(A198=8,L198+MAX(C199,D199,E199,F199),IF(A198=9,L198+MAX(C199,D199,E199,F199),FALSE))</f>
        <v>0</v>
      </c>
      <c r="K199" s="48" t="b">
        <f>AND(OR(A198=10,A198=11,A198=12),F199&gt;0)</f>
        <v>0</v>
      </c>
      <c r="L199" s="48">
        <f>IF(K199=TRUE,1,0)</f>
        <v>0</v>
      </c>
      <c r="M199" s="16" t="b">
        <f>AND(A198=7,$B$19&gt;1,$B$20&gt;1)</f>
        <v>0</v>
      </c>
      <c r="N199" s="11" t="b">
        <f>OR(AND(M199=FALSE,A198=7),A198=2,A198=6,A198=8,A198=9)</f>
        <v>0</v>
      </c>
    </row>
    <row r="200" spans="1:14" ht="16.5" customHeight="1">
      <c r="A200" s="173" t="s">
        <v>654</v>
      </c>
      <c r="B200" s="174"/>
      <c r="C200" s="16">
        <v>1</v>
      </c>
      <c r="D200" s="16"/>
      <c r="E200" s="16"/>
      <c r="F200" s="16">
        <f>IF(C200=2,0.1,0)</f>
        <v>0</v>
      </c>
      <c r="G200" s="16"/>
      <c r="H200" s="48"/>
      <c r="I200" s="48"/>
      <c r="J200" s="48"/>
      <c r="K200" s="48"/>
      <c r="L200" s="48"/>
      <c r="M200" s="16"/>
      <c r="N200" s="11"/>
    </row>
    <row r="201" spans="1:14" ht="16.5" customHeight="1">
      <c r="A201" s="173" t="s">
        <v>655</v>
      </c>
      <c r="B201" s="174"/>
      <c r="C201" s="16">
        <v>1</v>
      </c>
      <c r="D201" s="16"/>
      <c r="E201" s="16"/>
      <c r="F201" s="16">
        <f>IF(C201=2,-0.1,0)</f>
        <v>0</v>
      </c>
      <c r="G201" s="16"/>
      <c r="H201" s="48"/>
      <c r="I201" s="48"/>
      <c r="J201" s="48"/>
      <c r="K201" s="48"/>
      <c r="L201" s="48"/>
      <c r="M201" s="16"/>
      <c r="N201" s="11"/>
    </row>
    <row r="202" spans="1:14" ht="16.5" customHeight="1">
      <c r="A202" s="173" t="s">
        <v>656</v>
      </c>
      <c r="B202" s="174"/>
      <c r="C202" s="16">
        <v>1</v>
      </c>
      <c r="D202" s="16"/>
      <c r="E202" s="16"/>
      <c r="F202" s="16">
        <f>IF(C202=2,0.1,0)</f>
        <v>0</v>
      </c>
      <c r="G202" s="16"/>
      <c r="H202" s="48"/>
      <c r="I202" s="48"/>
      <c r="J202" s="48"/>
      <c r="K202" s="48"/>
      <c r="L202" s="48"/>
      <c r="M202" s="16"/>
      <c r="N202" s="11"/>
    </row>
    <row r="203" spans="1:14" ht="16.5" customHeight="1">
      <c r="A203" s="173" t="s">
        <v>657</v>
      </c>
      <c r="B203" s="174"/>
      <c r="C203" s="16">
        <v>1</v>
      </c>
      <c r="D203" s="16"/>
      <c r="E203" s="16"/>
      <c r="F203" s="16">
        <f>IF(C203=2,0.05,0)</f>
        <v>0</v>
      </c>
      <c r="G203" s="16"/>
      <c r="H203" s="48"/>
      <c r="I203" s="48"/>
      <c r="J203" s="48"/>
      <c r="K203" s="48"/>
      <c r="L203" s="48"/>
      <c r="M203" s="16"/>
      <c r="N203" s="11"/>
    </row>
    <row r="204" spans="1:14" ht="16.5" customHeight="1">
      <c r="A204" s="173" t="s">
        <v>658</v>
      </c>
      <c r="B204" s="174"/>
      <c r="C204" s="16">
        <v>1</v>
      </c>
      <c r="D204" s="16"/>
      <c r="E204" s="16"/>
      <c r="F204" s="16">
        <f>IF(C204=2,0.05,0)</f>
        <v>0</v>
      </c>
      <c r="G204" s="16"/>
      <c r="H204" s="48"/>
      <c r="I204" s="48"/>
      <c r="J204" s="48"/>
      <c r="K204" s="48"/>
      <c r="L204" s="48"/>
      <c r="M204" s="16"/>
      <c r="N204" s="11"/>
    </row>
    <row r="205" spans="1:14" ht="16.5" customHeight="1">
      <c r="A205" s="173" t="s">
        <v>659</v>
      </c>
      <c r="B205" s="174"/>
      <c r="C205" s="16">
        <v>1</v>
      </c>
      <c r="D205" s="16"/>
      <c r="E205" s="16"/>
      <c r="F205" s="16">
        <f>IF(C205=2,0.05,0)</f>
        <v>0</v>
      </c>
      <c r="G205" s="16"/>
      <c r="H205" s="48"/>
      <c r="I205" s="48"/>
      <c r="J205" s="48"/>
      <c r="K205" s="48"/>
      <c r="L205" s="48"/>
      <c r="M205" s="16"/>
      <c r="N205" s="11"/>
    </row>
    <row r="206" spans="1:14" ht="16.5" customHeight="1">
      <c r="A206" s="173" t="s">
        <v>660</v>
      </c>
      <c r="B206" s="174"/>
      <c r="C206" s="16">
        <v>1</v>
      </c>
      <c r="D206" s="16"/>
      <c r="E206" s="16"/>
      <c r="F206" s="16">
        <f>IF(C206=2,0.15,0)</f>
        <v>0</v>
      </c>
      <c r="G206" s="16"/>
      <c r="H206" s="48"/>
      <c r="K206" s="48"/>
      <c r="L206" s="48"/>
      <c r="M206" s="16"/>
      <c r="N206" s="11"/>
    </row>
    <row r="207" spans="1:14" ht="16.5" customHeight="1">
      <c r="A207" s="173" t="s">
        <v>661</v>
      </c>
      <c r="B207" s="174"/>
      <c r="C207" s="16">
        <v>1</v>
      </c>
      <c r="D207" s="16"/>
      <c r="E207" s="16"/>
      <c r="F207" s="16">
        <f>IF(C207=2,0.05,0)</f>
        <v>0</v>
      </c>
      <c r="G207" s="16"/>
      <c r="H207" s="48"/>
      <c r="I207" s="48"/>
      <c r="J207" s="48"/>
      <c r="K207" s="48"/>
      <c r="L207" s="48"/>
      <c r="M207" s="16"/>
      <c r="N207" s="11"/>
    </row>
    <row r="208" spans="1:14" ht="16.5" customHeight="1">
      <c r="A208" s="173" t="s">
        <v>662</v>
      </c>
      <c r="B208" s="174"/>
      <c r="C208" s="16">
        <v>1</v>
      </c>
      <c r="D208" s="16"/>
      <c r="E208" s="16"/>
      <c r="F208" s="16">
        <f>IF(C208=2,0.1,0)</f>
        <v>0</v>
      </c>
      <c r="G208" s="16"/>
      <c r="H208" s="48"/>
      <c r="I208" s="48"/>
      <c r="J208" s="48"/>
      <c r="K208" s="48"/>
      <c r="L208" s="48"/>
      <c r="M208" s="16"/>
      <c r="N208" s="11"/>
    </row>
    <row r="209" spans="1:14" ht="16.5" customHeight="1" thickBot="1">
      <c r="A209" s="25"/>
      <c r="B209" s="26"/>
      <c r="C209" s="26"/>
      <c r="D209" s="26"/>
      <c r="E209" s="38" t="s">
        <v>182</v>
      </c>
      <c r="F209" s="26">
        <f>SUM(F136:F188,F192,F194,F196,F198,F200,F201,F202,F203,F204,F205,F206,F207,F208)</f>
        <v>0</v>
      </c>
      <c r="G209" s="26"/>
      <c r="H209" s="26"/>
      <c r="I209" s="26"/>
      <c r="J209" s="26"/>
      <c r="K209" s="26"/>
      <c r="L209" s="26"/>
      <c r="M209" s="26"/>
      <c r="N209" s="22"/>
    </row>
    <row r="210" ht="16.5" customHeight="1" thickBot="1"/>
    <row r="211" spans="1:16" ht="16.5" customHeight="1">
      <c r="A211" s="107"/>
      <c r="B211" s="108" t="s">
        <v>183</v>
      </c>
      <c r="C211" s="109">
        <f>SUM(M213:M233)</f>
        <v>0</v>
      </c>
      <c r="D211" s="110"/>
      <c r="E211" s="111"/>
      <c r="F211" s="111"/>
      <c r="G211" s="111"/>
      <c r="H211" s="111"/>
      <c r="I211" s="111"/>
      <c r="J211" s="111"/>
      <c r="K211" s="111"/>
      <c r="L211" s="111"/>
      <c r="M211" s="108" t="s">
        <v>184</v>
      </c>
      <c r="N211" s="112">
        <f>SUM(K213:K233)</f>
        <v>0</v>
      </c>
      <c r="O211" s="111"/>
      <c r="P211" s="113"/>
    </row>
    <row r="212" spans="1:16" ht="16.5" customHeight="1">
      <c r="A212" s="114"/>
      <c r="B212" s="16"/>
      <c r="C212" s="10"/>
      <c r="D212" s="99"/>
      <c r="E212" s="16" t="s">
        <v>185</v>
      </c>
      <c r="F212" s="16" t="s">
        <v>186</v>
      </c>
      <c r="G212" s="16" t="s">
        <v>187</v>
      </c>
      <c r="H212" s="16" t="s">
        <v>26</v>
      </c>
      <c r="I212" s="16" t="s">
        <v>188</v>
      </c>
      <c r="J212" s="16" t="s">
        <v>189</v>
      </c>
      <c r="K212" s="16" t="s">
        <v>114</v>
      </c>
      <c r="L212" s="16" t="s">
        <v>25</v>
      </c>
      <c r="M212" s="16" t="s">
        <v>24</v>
      </c>
      <c r="N212" s="16" t="s">
        <v>190</v>
      </c>
      <c r="O212" s="35" t="s">
        <v>116</v>
      </c>
      <c r="P212" s="115" t="s">
        <v>117</v>
      </c>
    </row>
    <row r="213" spans="1:16" ht="16.5" customHeight="1">
      <c r="A213" s="114">
        <v>1</v>
      </c>
      <c r="B213" s="16"/>
      <c r="C213" s="10"/>
      <c r="D213" s="99"/>
      <c r="E213" s="16">
        <f>INDEX(Weapons!$D$3:$D$204,A213)</f>
        <v>0</v>
      </c>
      <c r="F213" s="16">
        <f>INDEX(Weapons!$E$3:$E$204,A213)</f>
        <v>0</v>
      </c>
      <c r="G213" s="16">
        <f>INDEX(Weapons!$C$3:$C$204,A213)</f>
        <v>0</v>
      </c>
      <c r="H213" s="16">
        <f>INDEX(Weapons!$G$3:$G$204,A213)</f>
        <v>0</v>
      </c>
      <c r="I213" s="16">
        <f>INDEX(Weapons!$H$3:$H$204,A213)</f>
        <v>0</v>
      </c>
      <c r="J213" s="16">
        <f>INDEX(Weapons!$F$3:$F$204,A213)</f>
        <v>0</v>
      </c>
      <c r="K213" s="16">
        <f>H213/2</f>
        <v>0</v>
      </c>
      <c r="L213" s="16">
        <f>INDEX(Weapons!$J$3:$J$204,A213)</f>
        <v>0</v>
      </c>
      <c r="M213" s="16">
        <f>INDEX(Weapons!$I$3:$I$204,A213)</f>
        <v>0</v>
      </c>
      <c r="N213" s="145">
        <v>0</v>
      </c>
      <c r="O213" s="16">
        <f aca="true" t="shared" si="6" ref="O213:O256">L213-N213</f>
        <v>0</v>
      </c>
      <c r="P213" s="116">
        <f aca="true" t="shared" si="7" ref="P213:P256">M213+(0.5*N213)</f>
        <v>0</v>
      </c>
    </row>
    <row r="214" spans="1:16" ht="16.5" customHeight="1">
      <c r="A214" s="114">
        <v>1</v>
      </c>
      <c r="B214" s="16"/>
      <c r="C214" s="10"/>
      <c r="D214" s="99"/>
      <c r="E214" s="16">
        <f>INDEX(Weapons!$D$3:$D$204,A214)</f>
        <v>0</v>
      </c>
      <c r="F214" s="16">
        <f>INDEX(Weapons!$E$3:$E$204,A214)</f>
        <v>0</v>
      </c>
      <c r="G214" s="16">
        <f>INDEX(Weapons!$C$3:$C$204,A214)</f>
        <v>0</v>
      </c>
      <c r="H214" s="16">
        <f>INDEX(Weapons!$G$3:$G$204,A214)</f>
        <v>0</v>
      </c>
      <c r="I214" s="16">
        <f>INDEX(Weapons!$H$3:$H$204,A214)</f>
        <v>0</v>
      </c>
      <c r="J214" s="16">
        <f>INDEX(Weapons!$F$3:$F$204,A214)</f>
        <v>0</v>
      </c>
      <c r="K214" s="16">
        <f>H214/2</f>
        <v>0</v>
      </c>
      <c r="L214" s="16">
        <f>INDEX(Weapons!$J$3:$J$204,A214)</f>
        <v>0</v>
      </c>
      <c r="M214" s="16">
        <f>INDEX(Weapons!$I$3:$I$204,A214)</f>
        <v>0</v>
      </c>
      <c r="N214" s="145">
        <v>0</v>
      </c>
      <c r="O214" s="16">
        <f t="shared" si="6"/>
        <v>0</v>
      </c>
      <c r="P214" s="116">
        <f t="shared" si="7"/>
        <v>0</v>
      </c>
    </row>
    <row r="215" spans="1:16" ht="16.5" customHeight="1">
      <c r="A215" s="114">
        <v>1</v>
      </c>
      <c r="B215" s="16"/>
      <c r="C215" s="10"/>
      <c r="D215" s="99"/>
      <c r="E215" s="16">
        <f>INDEX(Weapons!$D$3:$D$204,A215)</f>
        <v>0</v>
      </c>
      <c r="F215" s="64">
        <f>INDEX(Weapons!$E$3:$E$204,A215)</f>
        <v>0</v>
      </c>
      <c r="G215" s="16">
        <f>INDEX(Weapons!$C$3:$C$204,A215)</f>
        <v>0</v>
      </c>
      <c r="H215" s="16">
        <f>INDEX(Weapons!$G$3:$G$204,A215)</f>
        <v>0</v>
      </c>
      <c r="I215" s="16">
        <f>INDEX(Weapons!$H$3:$H$204,A215)</f>
        <v>0</v>
      </c>
      <c r="J215" s="16">
        <f>INDEX(Weapons!$F$3:$F$204,A215)</f>
        <v>0</v>
      </c>
      <c r="K215" s="16">
        <f>H215/2</f>
        <v>0</v>
      </c>
      <c r="L215" s="16">
        <f>INDEX(Weapons!$J$3:$J$204,A215)</f>
        <v>0</v>
      </c>
      <c r="M215" s="16">
        <f>INDEX(Weapons!$I$3:$I$204,A215)</f>
        <v>0</v>
      </c>
      <c r="N215" s="145">
        <v>0</v>
      </c>
      <c r="O215" s="16">
        <f t="shared" si="6"/>
        <v>0</v>
      </c>
      <c r="P215" s="116">
        <f t="shared" si="7"/>
        <v>0</v>
      </c>
    </row>
    <row r="216" spans="1:16" ht="16.5" customHeight="1">
      <c r="A216" s="114">
        <v>1</v>
      </c>
      <c r="B216" s="16"/>
      <c r="C216" s="10"/>
      <c r="D216" s="99"/>
      <c r="E216" s="16">
        <f>INDEX(Weapons!$D$3:$D$204,A216)</f>
        <v>0</v>
      </c>
      <c r="F216" s="64">
        <f>INDEX(Weapons!$E$3:$E$204,A216)</f>
        <v>0</v>
      </c>
      <c r="G216" s="16">
        <f>INDEX(Weapons!$C$3:$C$204,A216)</f>
        <v>0</v>
      </c>
      <c r="H216" s="16">
        <f>INDEX(Weapons!$G$3:$G$204,A216)</f>
        <v>0</v>
      </c>
      <c r="I216" s="16">
        <f>INDEX(Weapons!$H$3:$H$204,A216)</f>
        <v>0</v>
      </c>
      <c r="J216" s="16">
        <f>INDEX(Weapons!$F$3:$F$204,A216)</f>
        <v>0</v>
      </c>
      <c r="K216" s="16">
        <f>H216/2</f>
        <v>0</v>
      </c>
      <c r="L216" s="16">
        <f>INDEX(Weapons!$J$3:$J$204,A216)</f>
        <v>0</v>
      </c>
      <c r="M216" s="16">
        <f>INDEX(Weapons!$I$3:$I$204,A216)</f>
        <v>0</v>
      </c>
      <c r="N216" s="145">
        <v>0</v>
      </c>
      <c r="O216" s="16">
        <f t="shared" si="6"/>
        <v>0</v>
      </c>
      <c r="P216" s="116">
        <f t="shared" si="7"/>
        <v>0</v>
      </c>
    </row>
    <row r="217" spans="1:16" ht="16.5" customHeight="1">
      <c r="A217" s="114">
        <v>1</v>
      </c>
      <c r="B217" s="16"/>
      <c r="C217" s="10"/>
      <c r="D217" s="99"/>
      <c r="E217" s="16">
        <f>INDEX(Weapons!$D$3:$D$204,A217)</f>
        <v>0</v>
      </c>
      <c r="F217" s="64">
        <f>INDEX(Weapons!$E$3:$E$204,A217)</f>
        <v>0</v>
      </c>
      <c r="G217" s="16">
        <f>INDEX(Weapons!$C$3:$C$204,A217)</f>
        <v>0</v>
      </c>
      <c r="H217" s="16">
        <f>INDEX(Weapons!$G$3:$G$204,A217)</f>
        <v>0</v>
      </c>
      <c r="I217" s="16">
        <f>INDEX(Weapons!$H$3:$H$204,A217)</f>
        <v>0</v>
      </c>
      <c r="J217" s="16">
        <f>INDEX(Weapons!$F$3:$F$204,A217)</f>
        <v>0</v>
      </c>
      <c r="K217" s="16">
        <f>H217/2</f>
        <v>0</v>
      </c>
      <c r="L217" s="16">
        <f>INDEX(Weapons!$J$3:$J$204,A217)</f>
        <v>0</v>
      </c>
      <c r="M217" s="16">
        <f>INDEX(Weapons!$I$3:$I$204,A217)</f>
        <v>0</v>
      </c>
      <c r="N217" s="145">
        <v>0</v>
      </c>
      <c r="O217" s="16">
        <f t="shared" si="6"/>
        <v>0</v>
      </c>
      <c r="P217" s="116">
        <f t="shared" si="7"/>
        <v>0</v>
      </c>
    </row>
    <row r="218" spans="1:16" ht="16.5" customHeight="1">
      <c r="A218" s="114">
        <v>1</v>
      </c>
      <c r="B218" s="16"/>
      <c r="C218" s="10"/>
      <c r="D218" s="99"/>
      <c r="E218" s="16">
        <f>INDEX(Weapons!$D$3:$D$204,A218)</f>
        <v>0</v>
      </c>
      <c r="F218" s="64">
        <f>INDEX(Weapons!$E$3:$E$204,A218)</f>
        <v>0</v>
      </c>
      <c r="G218" s="16">
        <f>INDEX(Weapons!$C$3:$C$204,A218)</f>
        <v>0</v>
      </c>
      <c r="H218" s="16">
        <f>INDEX(Weapons!$G$3:$G$204,A218)</f>
        <v>0</v>
      </c>
      <c r="I218" s="16">
        <f>INDEX(Weapons!$H$3:$H$204,A218)</f>
        <v>0</v>
      </c>
      <c r="J218" s="16">
        <f>INDEX(Weapons!$F$3:$F$204,A218)</f>
        <v>0</v>
      </c>
      <c r="K218" s="16">
        <v>0</v>
      </c>
      <c r="L218" s="16">
        <f>INDEX(Weapons!$J$3:$J$204,A218)</f>
        <v>0</v>
      </c>
      <c r="M218" s="16">
        <f>INDEX(Weapons!$I$3:$I$204,A218)</f>
        <v>0</v>
      </c>
      <c r="N218" s="145">
        <v>0</v>
      </c>
      <c r="O218" s="16">
        <f t="shared" si="6"/>
        <v>0</v>
      </c>
      <c r="P218" s="116">
        <f t="shared" si="7"/>
        <v>0</v>
      </c>
    </row>
    <row r="219" spans="1:16" ht="16.5" customHeight="1">
      <c r="A219" s="114">
        <v>1</v>
      </c>
      <c r="B219" s="16"/>
      <c r="C219" s="10"/>
      <c r="D219" s="99"/>
      <c r="E219" s="16">
        <f>INDEX(Weapons!$D$3:$D$204,A219)</f>
        <v>0</v>
      </c>
      <c r="F219" s="64">
        <f>INDEX(Weapons!$E$3:$E$204,A219)</f>
        <v>0</v>
      </c>
      <c r="G219" s="16">
        <f>INDEX(Weapons!$C$3:$C$204,A219)</f>
        <v>0</v>
      </c>
      <c r="H219" s="16">
        <f>INDEX(Weapons!$G$3:$G$204,A219)</f>
        <v>0</v>
      </c>
      <c r="I219" s="16">
        <f>INDEX(Weapons!$H$3:$H$204,A219)</f>
        <v>0</v>
      </c>
      <c r="J219" s="16">
        <f>INDEX(Weapons!$F$3:$F$204,A219)</f>
        <v>0</v>
      </c>
      <c r="K219" s="16">
        <f>H219/2</f>
        <v>0</v>
      </c>
      <c r="L219" s="16">
        <f>INDEX(Weapons!$J$3:$J$204,A219)</f>
        <v>0</v>
      </c>
      <c r="M219" s="16">
        <f>INDEX(Weapons!$I$3:$I$204,A219)</f>
        <v>0</v>
      </c>
      <c r="N219" s="145">
        <v>0</v>
      </c>
      <c r="O219" s="16">
        <f t="shared" si="6"/>
        <v>0</v>
      </c>
      <c r="P219" s="116">
        <f t="shared" si="7"/>
        <v>0</v>
      </c>
    </row>
    <row r="220" spans="1:16" ht="16.5" customHeight="1">
      <c r="A220" s="114">
        <v>1</v>
      </c>
      <c r="B220" s="16"/>
      <c r="C220" s="10"/>
      <c r="D220" s="99"/>
      <c r="E220" s="16">
        <f>INDEX(Weapons!$D$3:$D$204,A220)</f>
        <v>0</v>
      </c>
      <c r="F220" s="64">
        <f>INDEX(Weapons!$E$3:$E$204,A220)</f>
        <v>0</v>
      </c>
      <c r="G220" s="16">
        <f>INDEX(Weapons!$C$3:$C$204,A220)</f>
        <v>0</v>
      </c>
      <c r="H220" s="16">
        <f>INDEX(Weapons!$G$3:$G$204,A220)</f>
        <v>0</v>
      </c>
      <c r="I220" s="16">
        <f>INDEX(Weapons!$H$3:$H$204,A220)</f>
        <v>0</v>
      </c>
      <c r="J220" s="16">
        <f>INDEX(Weapons!$F$3:$F$204,A220)</f>
        <v>0</v>
      </c>
      <c r="K220" s="16">
        <v>0</v>
      </c>
      <c r="L220" s="16">
        <f>INDEX(Weapons!$J$3:$J$204,A220)</f>
        <v>0</v>
      </c>
      <c r="M220" s="16">
        <f>INDEX(Weapons!$I$3:$I$204,A220)</f>
        <v>0</v>
      </c>
      <c r="N220" s="145">
        <v>0</v>
      </c>
      <c r="O220" s="16">
        <f t="shared" si="6"/>
        <v>0</v>
      </c>
      <c r="P220" s="116">
        <f t="shared" si="7"/>
        <v>0</v>
      </c>
    </row>
    <row r="221" spans="1:16" ht="16.5" customHeight="1">
      <c r="A221" s="114">
        <v>1</v>
      </c>
      <c r="B221" s="16"/>
      <c r="C221" s="10"/>
      <c r="D221" s="99"/>
      <c r="E221" s="16">
        <f>INDEX(Weapons!$D$3:$D$204,A221)</f>
        <v>0</v>
      </c>
      <c r="F221" s="16">
        <f>INDEX(Weapons!$E$3:$E$204,A221)</f>
        <v>0</v>
      </c>
      <c r="G221" s="16">
        <f>INDEX(Weapons!$C$3:$C$204,A221)</f>
        <v>0</v>
      </c>
      <c r="H221" s="16">
        <f>INDEX(Weapons!$G$3:$G$204,A221)</f>
        <v>0</v>
      </c>
      <c r="I221" s="16">
        <f>INDEX(Weapons!$H$3:$H$204,A221)</f>
        <v>0</v>
      </c>
      <c r="J221" s="16">
        <f>INDEX(Weapons!$F$3:$F$204,A221)</f>
        <v>0</v>
      </c>
      <c r="K221" s="16">
        <f aca="true" t="shared" si="8" ref="K221:K256">H221/2</f>
        <v>0</v>
      </c>
      <c r="L221" s="16">
        <f>INDEX(Weapons!$J$3:$J$204,A221)</f>
        <v>0</v>
      </c>
      <c r="M221" s="16">
        <f>INDEX(Weapons!$I$3:$I$204,A221)</f>
        <v>0</v>
      </c>
      <c r="N221" s="145">
        <v>0</v>
      </c>
      <c r="O221" s="16">
        <f t="shared" si="6"/>
        <v>0</v>
      </c>
      <c r="P221" s="116">
        <f t="shared" si="7"/>
        <v>0</v>
      </c>
    </row>
    <row r="222" spans="1:16" ht="16.5" customHeight="1">
      <c r="A222" s="114">
        <v>1</v>
      </c>
      <c r="B222" s="16"/>
      <c r="C222" s="10"/>
      <c r="D222" s="99"/>
      <c r="E222" s="16">
        <f>INDEX(Weapons!$D$3:$D$204,A222)</f>
        <v>0</v>
      </c>
      <c r="F222" s="64">
        <f>INDEX(Weapons!$E$3:$E$204,A222)</f>
        <v>0</v>
      </c>
      <c r="G222" s="16">
        <f>INDEX(Weapons!$C$3:$C$204,A222)</f>
        <v>0</v>
      </c>
      <c r="H222" s="16">
        <f>INDEX(Weapons!$G$3:$G$204,A222)</f>
        <v>0</v>
      </c>
      <c r="I222" s="16">
        <f>INDEX(Weapons!$H$3:$H$204,A222)</f>
        <v>0</v>
      </c>
      <c r="J222" s="16">
        <f>INDEX(Weapons!$F$3:$F$204,A222)</f>
        <v>0</v>
      </c>
      <c r="K222" s="16">
        <f t="shared" si="8"/>
        <v>0</v>
      </c>
      <c r="L222" s="16">
        <f>INDEX(Weapons!$J$3:$J$204,A222)</f>
        <v>0</v>
      </c>
      <c r="M222" s="16">
        <f>INDEX(Weapons!$I$3:$I$204,A222)</f>
        <v>0</v>
      </c>
      <c r="N222" s="145">
        <v>0</v>
      </c>
      <c r="O222" s="16">
        <f t="shared" si="6"/>
        <v>0</v>
      </c>
      <c r="P222" s="116">
        <f t="shared" si="7"/>
        <v>0</v>
      </c>
    </row>
    <row r="223" spans="1:16" ht="16.5" customHeight="1">
      <c r="A223" s="114">
        <v>1</v>
      </c>
      <c r="B223" s="16"/>
      <c r="C223" s="10"/>
      <c r="D223" s="99"/>
      <c r="E223" s="16">
        <f>INDEX(Weapons!$D$3:$D$204,A223)</f>
        <v>0</v>
      </c>
      <c r="F223" s="64">
        <f>INDEX(Weapons!$E$3:$E$204,A223)</f>
        <v>0</v>
      </c>
      <c r="G223" s="16">
        <f>INDEX(Weapons!$C$3:$C$204,A223)</f>
        <v>0</v>
      </c>
      <c r="H223" s="16">
        <f>INDEX(Weapons!$G$3:$G$204,A223)</f>
        <v>0</v>
      </c>
      <c r="I223" s="16">
        <f>INDEX(Weapons!$H$3:$H$204,A223)</f>
        <v>0</v>
      </c>
      <c r="J223" s="16">
        <f>INDEX(Weapons!$F$3:$F$204,A223)</f>
        <v>0</v>
      </c>
      <c r="K223" s="16">
        <f t="shared" si="8"/>
        <v>0</v>
      </c>
      <c r="L223" s="16">
        <f>INDEX(Weapons!$J$3:$J$204,A223)</f>
        <v>0</v>
      </c>
      <c r="M223" s="16">
        <f>INDEX(Weapons!$I$3:$I$204,A223)</f>
        <v>0</v>
      </c>
      <c r="N223" s="145">
        <v>0</v>
      </c>
      <c r="O223" s="16">
        <f t="shared" si="6"/>
        <v>0</v>
      </c>
      <c r="P223" s="116">
        <f t="shared" si="7"/>
        <v>0</v>
      </c>
    </row>
    <row r="224" spans="1:16" ht="16.5" customHeight="1">
      <c r="A224" s="114">
        <v>1</v>
      </c>
      <c r="B224" s="16"/>
      <c r="C224" s="10"/>
      <c r="D224" s="99"/>
      <c r="E224" s="16">
        <f>INDEX(Weapons!$D$3:$D$204,A224)</f>
        <v>0</v>
      </c>
      <c r="F224" s="16">
        <f>INDEX(Weapons!$E$3:$E$204,A224)</f>
        <v>0</v>
      </c>
      <c r="G224" s="16">
        <f>INDEX(Weapons!$C$3:$C$204,A224)</f>
        <v>0</v>
      </c>
      <c r="H224" s="16">
        <f>INDEX(Weapons!$G$3:$G$204,A224)</f>
        <v>0</v>
      </c>
      <c r="I224" s="16">
        <f>INDEX(Weapons!$H$3:$H$204,A224)</f>
        <v>0</v>
      </c>
      <c r="J224" s="16">
        <f>INDEX(Weapons!$F$3:$F$204,A224)</f>
        <v>0</v>
      </c>
      <c r="K224" s="16">
        <f t="shared" si="8"/>
        <v>0</v>
      </c>
      <c r="L224" s="16">
        <f>INDEX(Weapons!$J$3:$J$204,A224)</f>
        <v>0</v>
      </c>
      <c r="M224" s="16">
        <f>INDEX(Weapons!$I$3:$I$204,A224)</f>
        <v>0</v>
      </c>
      <c r="N224" s="145">
        <v>0</v>
      </c>
      <c r="O224" s="16">
        <f t="shared" si="6"/>
        <v>0</v>
      </c>
      <c r="P224" s="116">
        <f t="shared" si="7"/>
        <v>0</v>
      </c>
    </row>
    <row r="225" spans="1:16" ht="16.5" customHeight="1">
      <c r="A225" s="114">
        <v>1</v>
      </c>
      <c r="B225" s="16"/>
      <c r="C225" s="10"/>
      <c r="D225" s="99"/>
      <c r="E225" s="16">
        <f>INDEX(Weapons!$D$3:$D$204,A225)</f>
        <v>0</v>
      </c>
      <c r="F225" s="16">
        <f>INDEX(Weapons!$E$3:$E$204,A225)</f>
        <v>0</v>
      </c>
      <c r="G225" s="16">
        <f>INDEX(Weapons!$C$3:$C$204,A225)</f>
        <v>0</v>
      </c>
      <c r="H225" s="16">
        <f>INDEX(Weapons!$G$3:$G$204,A225)</f>
        <v>0</v>
      </c>
      <c r="I225" s="16">
        <f>INDEX(Weapons!$H$3:$H$204,A225)</f>
        <v>0</v>
      </c>
      <c r="J225" s="16">
        <f>INDEX(Weapons!$F$3:$F$204,A225)</f>
        <v>0</v>
      </c>
      <c r="K225" s="16">
        <f t="shared" si="8"/>
        <v>0</v>
      </c>
      <c r="L225" s="16">
        <f>INDEX(Weapons!$J$3:$J$204,A225)</f>
        <v>0</v>
      </c>
      <c r="M225" s="16">
        <f>INDEX(Weapons!$I$3:$I$204,A225)</f>
        <v>0</v>
      </c>
      <c r="N225" s="145">
        <v>0</v>
      </c>
      <c r="O225" s="16">
        <f t="shared" si="6"/>
        <v>0</v>
      </c>
      <c r="P225" s="116">
        <f t="shared" si="7"/>
        <v>0</v>
      </c>
    </row>
    <row r="226" spans="1:16" ht="16.5" customHeight="1">
      <c r="A226" s="114">
        <v>1</v>
      </c>
      <c r="B226" s="16"/>
      <c r="C226" s="10"/>
      <c r="D226" s="99"/>
      <c r="E226" s="16">
        <f>INDEX(Weapons!$D$3:$D$204,A226)</f>
        <v>0</v>
      </c>
      <c r="F226" s="16">
        <f>INDEX(Weapons!$E$3:$E$204,A226)</f>
        <v>0</v>
      </c>
      <c r="G226" s="16">
        <f>INDEX(Weapons!$C$3:$C$204,A226)</f>
        <v>0</v>
      </c>
      <c r="H226" s="16">
        <f>INDEX(Weapons!$G$3:$G$204,A226)</f>
        <v>0</v>
      </c>
      <c r="I226" s="16">
        <f>INDEX(Weapons!$H$3:$H$204,A226)</f>
        <v>0</v>
      </c>
      <c r="J226" s="16">
        <f>INDEX(Weapons!$F$3:$F$204,A226)</f>
        <v>0</v>
      </c>
      <c r="K226" s="16">
        <f t="shared" si="8"/>
        <v>0</v>
      </c>
      <c r="L226" s="16">
        <f>INDEX(Weapons!$J$3:$J$204,A226)</f>
        <v>0</v>
      </c>
      <c r="M226" s="16">
        <f>INDEX(Weapons!$I$3:$I$204,A226)</f>
        <v>0</v>
      </c>
      <c r="N226" s="145">
        <v>0</v>
      </c>
      <c r="O226" s="16">
        <f t="shared" si="6"/>
        <v>0</v>
      </c>
      <c r="P226" s="116">
        <f t="shared" si="7"/>
        <v>0</v>
      </c>
    </row>
    <row r="227" spans="1:16" ht="16.5" customHeight="1">
      <c r="A227" s="114">
        <v>1</v>
      </c>
      <c r="B227" s="16"/>
      <c r="C227" s="10"/>
      <c r="D227" s="99"/>
      <c r="E227" s="16">
        <f>INDEX(Weapons!$D$3:$D$204,A227)</f>
        <v>0</v>
      </c>
      <c r="F227" s="16">
        <f>INDEX(Weapons!$E$3:$E$204,A227)</f>
        <v>0</v>
      </c>
      <c r="G227" s="16">
        <f>INDEX(Weapons!$C$3:$C$204,A227)</f>
        <v>0</v>
      </c>
      <c r="H227" s="16">
        <f>INDEX(Weapons!$G$3:$G$204,A227)</f>
        <v>0</v>
      </c>
      <c r="I227" s="16">
        <f>INDEX(Weapons!$H$3:$H$204,A227)</f>
        <v>0</v>
      </c>
      <c r="J227" s="16">
        <f>INDEX(Weapons!$F$3:$F$204,A227)</f>
        <v>0</v>
      </c>
      <c r="K227" s="16">
        <f t="shared" si="8"/>
        <v>0</v>
      </c>
      <c r="L227" s="16">
        <f>INDEX(Weapons!$J$3:$J$204,A227)</f>
        <v>0</v>
      </c>
      <c r="M227" s="16">
        <f>INDEX(Weapons!$I$3:$I$204,A227)</f>
        <v>0</v>
      </c>
      <c r="N227" s="145">
        <v>0</v>
      </c>
      <c r="O227" s="16">
        <f t="shared" si="6"/>
        <v>0</v>
      </c>
      <c r="P227" s="116">
        <f t="shared" si="7"/>
        <v>0</v>
      </c>
    </row>
    <row r="228" spans="1:16" ht="16.5" customHeight="1">
      <c r="A228" s="114">
        <v>1</v>
      </c>
      <c r="B228" s="16"/>
      <c r="C228" s="10"/>
      <c r="D228" s="99"/>
      <c r="E228" s="16">
        <f>INDEX(Weapons!$D$3:$D$204,A228)</f>
        <v>0</v>
      </c>
      <c r="F228" s="16">
        <f>INDEX(Weapons!$E$3:$E$204,A228)</f>
        <v>0</v>
      </c>
      <c r="G228" s="16">
        <f>INDEX(Weapons!$C$3:$C$204,A228)</f>
        <v>0</v>
      </c>
      <c r="H228" s="16">
        <f>INDEX(Weapons!$G$3:$G$204,A228)</f>
        <v>0</v>
      </c>
      <c r="I228" s="16">
        <f>INDEX(Weapons!$H$3:$H$204,A228)</f>
        <v>0</v>
      </c>
      <c r="J228" s="16">
        <f>INDEX(Weapons!$F$3:$F$204,A228)</f>
        <v>0</v>
      </c>
      <c r="K228" s="16">
        <f t="shared" si="8"/>
        <v>0</v>
      </c>
      <c r="L228" s="16">
        <f>INDEX(Weapons!$J$3:$J$204,A228)</f>
        <v>0</v>
      </c>
      <c r="M228" s="16">
        <f>INDEX(Weapons!$I$3:$I$204,A228)</f>
        <v>0</v>
      </c>
      <c r="N228" s="145">
        <v>0</v>
      </c>
      <c r="O228" s="16">
        <f t="shared" si="6"/>
        <v>0</v>
      </c>
      <c r="P228" s="116">
        <f t="shared" si="7"/>
        <v>0</v>
      </c>
    </row>
    <row r="229" spans="1:16" ht="16.5" customHeight="1">
      <c r="A229" s="114">
        <v>1</v>
      </c>
      <c r="B229" s="16"/>
      <c r="C229" s="10"/>
      <c r="D229" s="99"/>
      <c r="E229" s="16">
        <f>INDEX(Weapons!$D$3:$D$204,A229)</f>
        <v>0</v>
      </c>
      <c r="F229" s="16">
        <f>INDEX(Weapons!$E$3:$E$204,A229)</f>
        <v>0</v>
      </c>
      <c r="G229" s="16">
        <f>INDEX(Weapons!$C$3:$C$204,A229)</f>
        <v>0</v>
      </c>
      <c r="H229" s="16">
        <f>INDEX(Weapons!$G$3:$G$204,A229)</f>
        <v>0</v>
      </c>
      <c r="I229" s="16">
        <f>INDEX(Weapons!$H$3:$H$204,A229)</f>
        <v>0</v>
      </c>
      <c r="J229" s="16">
        <f>INDEX(Weapons!$F$3:$F$204,A229)</f>
        <v>0</v>
      </c>
      <c r="K229" s="16">
        <f t="shared" si="8"/>
        <v>0</v>
      </c>
      <c r="L229" s="16">
        <f>INDEX(Weapons!$J$3:$J$204,A229)</f>
        <v>0</v>
      </c>
      <c r="M229" s="16">
        <f>INDEX(Weapons!$I$3:$I$204,A229)</f>
        <v>0</v>
      </c>
      <c r="N229" s="145">
        <v>0</v>
      </c>
      <c r="O229" s="16">
        <f t="shared" si="6"/>
        <v>0</v>
      </c>
      <c r="P229" s="116">
        <f t="shared" si="7"/>
        <v>0</v>
      </c>
    </row>
    <row r="230" spans="1:16" ht="16.5" customHeight="1">
      <c r="A230" s="114">
        <v>1</v>
      </c>
      <c r="B230" s="16"/>
      <c r="C230" s="10"/>
      <c r="D230" s="99"/>
      <c r="E230" s="16">
        <f>INDEX(Weapons!$D$3:$D$204,A230)</f>
        <v>0</v>
      </c>
      <c r="F230" s="16">
        <f>INDEX(Weapons!$E$3:$E$204,A230)</f>
        <v>0</v>
      </c>
      <c r="G230" s="16">
        <f>INDEX(Weapons!$C$3:$C$204,A230)</f>
        <v>0</v>
      </c>
      <c r="H230" s="16">
        <f>INDEX(Weapons!$G$3:$G$204,A230)</f>
        <v>0</v>
      </c>
      <c r="I230" s="16">
        <f>INDEX(Weapons!$H$3:$H$204,A230)</f>
        <v>0</v>
      </c>
      <c r="J230" s="16">
        <f>INDEX(Weapons!$F$3:$F$204,A230)</f>
        <v>0</v>
      </c>
      <c r="K230" s="16">
        <f t="shared" si="8"/>
        <v>0</v>
      </c>
      <c r="L230" s="16">
        <f>INDEX(Weapons!$J$3:$J$204,A230)</f>
        <v>0</v>
      </c>
      <c r="M230" s="16">
        <f>INDEX(Weapons!$I$3:$I$204,A230)</f>
        <v>0</v>
      </c>
      <c r="N230" s="145">
        <v>0</v>
      </c>
      <c r="O230" s="16">
        <f t="shared" si="6"/>
        <v>0</v>
      </c>
      <c r="P230" s="116">
        <f t="shared" si="7"/>
        <v>0</v>
      </c>
    </row>
    <row r="231" spans="1:16" ht="16.5" customHeight="1">
      <c r="A231" s="114">
        <v>1</v>
      </c>
      <c r="B231" s="16"/>
      <c r="C231" s="10"/>
      <c r="D231" s="99"/>
      <c r="E231" s="16">
        <f>INDEX(Weapons!$D$3:$D$204,A231)</f>
        <v>0</v>
      </c>
      <c r="F231" s="16">
        <f>INDEX(Weapons!$E$3:$E$204,A231)</f>
        <v>0</v>
      </c>
      <c r="G231" s="16">
        <f>INDEX(Weapons!$C$3:$C$204,A231)</f>
        <v>0</v>
      </c>
      <c r="H231" s="16">
        <f>INDEX(Weapons!$G$3:$G$204,A231)</f>
        <v>0</v>
      </c>
      <c r="I231" s="16">
        <f>INDEX(Weapons!$H$3:$H$204,A231)</f>
        <v>0</v>
      </c>
      <c r="J231" s="16">
        <f>INDEX(Weapons!$F$3:$F$204,A231)</f>
        <v>0</v>
      </c>
      <c r="K231" s="16">
        <f t="shared" si="8"/>
        <v>0</v>
      </c>
      <c r="L231" s="16">
        <f>INDEX(Weapons!$J$3:$J$204,A231)</f>
        <v>0</v>
      </c>
      <c r="M231" s="16">
        <f>INDEX(Weapons!$I$3:$I$204,A231)</f>
        <v>0</v>
      </c>
      <c r="N231" s="145">
        <v>0</v>
      </c>
      <c r="O231" s="16">
        <f t="shared" si="6"/>
        <v>0</v>
      </c>
      <c r="P231" s="116">
        <f t="shared" si="7"/>
        <v>0</v>
      </c>
    </row>
    <row r="232" spans="1:16" ht="16.5" customHeight="1">
      <c r="A232" s="114">
        <v>1</v>
      </c>
      <c r="B232" s="16"/>
      <c r="C232" s="10"/>
      <c r="D232" s="99"/>
      <c r="E232" s="16">
        <f>INDEX(Weapons!$D$3:$D$204,A232)</f>
        <v>0</v>
      </c>
      <c r="F232" s="16">
        <f>INDEX(Weapons!$E$3:$E$204,A232)</f>
        <v>0</v>
      </c>
      <c r="G232" s="16">
        <f>INDEX(Weapons!$C$3:$C$204,A232)</f>
        <v>0</v>
      </c>
      <c r="H232" s="16">
        <f>INDEX(Weapons!$G$3:$G$204,A232)</f>
        <v>0</v>
      </c>
      <c r="I232" s="16">
        <f>INDEX(Weapons!$H$3:$H$204,A232)</f>
        <v>0</v>
      </c>
      <c r="J232" s="16">
        <f>INDEX(Weapons!$F$3:$F$204,A232)</f>
        <v>0</v>
      </c>
      <c r="K232" s="16">
        <f t="shared" si="8"/>
        <v>0</v>
      </c>
      <c r="L232" s="16">
        <f>INDEX(Weapons!$J$3:$J$204,A232)</f>
        <v>0</v>
      </c>
      <c r="M232" s="16">
        <f>INDEX(Weapons!$I$3:$I$204,A232)</f>
        <v>0</v>
      </c>
      <c r="N232" s="145">
        <v>0</v>
      </c>
      <c r="O232" s="16">
        <f t="shared" si="6"/>
        <v>0</v>
      </c>
      <c r="P232" s="116">
        <f t="shared" si="7"/>
        <v>0</v>
      </c>
    </row>
    <row r="233" spans="1:16" ht="16.5" customHeight="1">
      <c r="A233" s="114">
        <v>1</v>
      </c>
      <c r="B233" s="16"/>
      <c r="C233" s="10"/>
      <c r="D233" s="99"/>
      <c r="E233" s="16">
        <f>INDEX(Weapons!$D$3:$D$204,A233)</f>
        <v>0</v>
      </c>
      <c r="F233" s="16">
        <f>INDEX(Weapons!$E$3:$E$204,A233)</f>
        <v>0</v>
      </c>
      <c r="G233" s="16">
        <f>INDEX(Weapons!$C$3:$C$204,A233)</f>
        <v>0</v>
      </c>
      <c r="H233" s="16">
        <f>INDEX(Weapons!$G$3:$G$204,A233)</f>
        <v>0</v>
      </c>
      <c r="I233" s="16">
        <f>INDEX(Weapons!$H$3:$H$204,A233)</f>
        <v>0</v>
      </c>
      <c r="J233" s="16">
        <f>INDEX(Weapons!$F$3:$F$204,A233)</f>
        <v>0</v>
      </c>
      <c r="K233" s="16">
        <f t="shared" si="8"/>
        <v>0</v>
      </c>
      <c r="L233" s="16">
        <f>INDEX(Weapons!$J$3:$J$204,A233)</f>
        <v>0</v>
      </c>
      <c r="M233" s="16">
        <f>INDEX(Weapons!$I$3:$I$204,A233)</f>
        <v>0</v>
      </c>
      <c r="N233" s="145">
        <v>0</v>
      </c>
      <c r="O233" s="16">
        <f t="shared" si="6"/>
        <v>0</v>
      </c>
      <c r="P233" s="116">
        <f t="shared" si="7"/>
        <v>0</v>
      </c>
    </row>
    <row r="234" spans="1:16" ht="16.5" customHeight="1" thickBot="1">
      <c r="A234" s="117">
        <v>1</v>
      </c>
      <c r="B234" s="99"/>
      <c r="C234" s="99"/>
      <c r="D234" s="99"/>
      <c r="E234" s="16">
        <f>INDEX(Weapons!$D$3:$D$204,A234)</f>
        <v>0</v>
      </c>
      <c r="F234" s="16">
        <f>INDEX(Weapons!$E$3:$E$204,A234)</f>
        <v>0</v>
      </c>
      <c r="G234" s="16">
        <f>INDEX(Weapons!$C$3:$C$204,A234)</f>
        <v>0</v>
      </c>
      <c r="H234" s="16">
        <f>INDEX(Weapons!$G$3:$G$204,A234)</f>
        <v>0</v>
      </c>
      <c r="I234" s="16">
        <f>INDEX(Weapons!$H$3:$H$204,A234)</f>
        <v>0</v>
      </c>
      <c r="J234" s="16">
        <f>INDEX(Weapons!$F$3:$F$204,A234)</f>
        <v>0</v>
      </c>
      <c r="K234" s="16">
        <f t="shared" si="8"/>
        <v>0</v>
      </c>
      <c r="L234" s="16">
        <f>INDEX(Weapons!$J$3:$J$204,A234)</f>
        <v>0</v>
      </c>
      <c r="M234" s="16">
        <f>INDEX(Weapons!$I$3:$I$204,A234)</f>
        <v>0</v>
      </c>
      <c r="N234" s="145">
        <v>0</v>
      </c>
      <c r="O234" s="16">
        <f t="shared" si="6"/>
        <v>0</v>
      </c>
      <c r="P234" s="116">
        <f t="shared" si="7"/>
        <v>0</v>
      </c>
    </row>
    <row r="235" spans="1:16" ht="16.5" customHeight="1">
      <c r="A235" s="118">
        <v>1</v>
      </c>
      <c r="B235" s="16"/>
      <c r="C235" s="16"/>
      <c r="D235" s="16"/>
      <c r="E235" s="16">
        <f>INDEX(Weapons!$D$3:$D$204,A235)</f>
        <v>0</v>
      </c>
      <c r="F235" s="16">
        <f>INDEX(Weapons!$E$3:$E$204,A235)</f>
        <v>0</v>
      </c>
      <c r="G235" s="16">
        <f>INDEX(Weapons!$C$3:$C$204,A235)</f>
        <v>0</v>
      </c>
      <c r="H235" s="16">
        <f>INDEX(Weapons!$G$3:$G$204,A235)</f>
        <v>0</v>
      </c>
      <c r="I235" s="16">
        <f>INDEX(Weapons!$H$3:$H$204,A235)</f>
        <v>0</v>
      </c>
      <c r="J235" s="16">
        <f>INDEX(Weapons!$F$3:$F$204,A235)</f>
        <v>0</v>
      </c>
      <c r="K235" s="16">
        <f t="shared" si="8"/>
        <v>0</v>
      </c>
      <c r="L235" s="16">
        <f>INDEX(Weapons!$J$3:$J$204,A235)</f>
        <v>0</v>
      </c>
      <c r="M235" s="16">
        <f>INDEX(Weapons!$I$3:$I$204,A235)</f>
        <v>0</v>
      </c>
      <c r="N235" s="145">
        <v>0</v>
      </c>
      <c r="O235" s="16">
        <f t="shared" si="6"/>
        <v>0</v>
      </c>
      <c r="P235" s="116">
        <f t="shared" si="7"/>
        <v>0</v>
      </c>
    </row>
    <row r="236" spans="1:16" ht="16.5" customHeight="1">
      <c r="A236" s="118">
        <v>1</v>
      </c>
      <c r="B236" s="16"/>
      <c r="C236" s="16"/>
      <c r="D236" s="16"/>
      <c r="E236" s="16">
        <f>INDEX(Weapons!$D$3:$D$204,A236)</f>
        <v>0</v>
      </c>
      <c r="F236" s="16">
        <f>INDEX(Weapons!$E$3:$E$204,A236)</f>
        <v>0</v>
      </c>
      <c r="G236" s="16">
        <f>INDEX(Weapons!$C$3:$C$204,A236)</f>
        <v>0</v>
      </c>
      <c r="H236" s="16">
        <f>INDEX(Weapons!$G$3:$G$204,A236)</f>
        <v>0</v>
      </c>
      <c r="I236" s="16">
        <f>INDEX(Weapons!$H$3:$H$204,A236)</f>
        <v>0</v>
      </c>
      <c r="J236" s="16">
        <f>INDEX(Weapons!$F$3:$F$204,A236)</f>
        <v>0</v>
      </c>
      <c r="K236" s="16">
        <f t="shared" si="8"/>
        <v>0</v>
      </c>
      <c r="L236" s="16">
        <f>INDEX(Weapons!$J$3:$J$204,A236)</f>
        <v>0</v>
      </c>
      <c r="M236" s="16">
        <f>INDEX(Weapons!$I$3:$I$204,A236)</f>
        <v>0</v>
      </c>
      <c r="N236" s="145">
        <v>0</v>
      </c>
      <c r="O236" s="16">
        <f t="shared" si="6"/>
        <v>0</v>
      </c>
      <c r="P236" s="116">
        <f t="shared" si="7"/>
        <v>0</v>
      </c>
    </row>
    <row r="237" spans="1:16" ht="16.5" customHeight="1">
      <c r="A237" s="118">
        <v>1</v>
      </c>
      <c r="B237" s="16"/>
      <c r="C237" s="16"/>
      <c r="D237" s="16"/>
      <c r="E237" s="16">
        <f>INDEX(Weapons!$D$3:$D$204,A237)</f>
        <v>0</v>
      </c>
      <c r="F237" s="16">
        <f>INDEX(Weapons!$E$3:$E$204,A237)</f>
        <v>0</v>
      </c>
      <c r="G237" s="16">
        <f>INDEX(Weapons!$C$3:$C$204,A237)</f>
        <v>0</v>
      </c>
      <c r="H237" s="16">
        <f>INDEX(Weapons!$G$3:$G$204,A237)</f>
        <v>0</v>
      </c>
      <c r="I237" s="16">
        <f>INDEX(Weapons!$H$3:$H$204,A237)</f>
        <v>0</v>
      </c>
      <c r="J237" s="16">
        <f>INDEX(Weapons!$F$3:$F$204,A237)</f>
        <v>0</v>
      </c>
      <c r="K237" s="16">
        <f t="shared" si="8"/>
        <v>0</v>
      </c>
      <c r="L237" s="16">
        <f>INDEX(Weapons!$J$3:$J$204,A237)</f>
        <v>0</v>
      </c>
      <c r="M237" s="16">
        <f>INDEX(Weapons!$I$3:$I$204,A237)</f>
        <v>0</v>
      </c>
      <c r="N237" s="145">
        <v>0</v>
      </c>
      <c r="O237" s="16">
        <f t="shared" si="6"/>
        <v>0</v>
      </c>
      <c r="P237" s="116">
        <f t="shared" si="7"/>
        <v>0</v>
      </c>
    </row>
    <row r="238" spans="1:16" ht="16.5" customHeight="1">
      <c r="A238" s="118">
        <v>1</v>
      </c>
      <c r="B238" s="16"/>
      <c r="C238" s="16"/>
      <c r="D238" s="16"/>
      <c r="E238" s="16">
        <f>INDEX(Weapons!$D$3:$D$204,A238)</f>
        <v>0</v>
      </c>
      <c r="F238" s="16">
        <f>INDEX(Weapons!$E$3:$E$204,A238)</f>
        <v>0</v>
      </c>
      <c r="G238" s="16">
        <f>INDEX(Weapons!$C$3:$C$204,A238)</f>
        <v>0</v>
      </c>
      <c r="H238" s="16">
        <f>INDEX(Weapons!$G$3:$G$204,A238)</f>
        <v>0</v>
      </c>
      <c r="I238" s="16">
        <f>INDEX(Weapons!$H$3:$H$204,A238)</f>
        <v>0</v>
      </c>
      <c r="J238" s="16">
        <f>INDEX(Weapons!$F$3:$F$204,A238)</f>
        <v>0</v>
      </c>
      <c r="K238" s="16">
        <f t="shared" si="8"/>
        <v>0</v>
      </c>
      <c r="L238" s="16">
        <f>INDEX(Weapons!$J$3:$J$204,A238)</f>
        <v>0</v>
      </c>
      <c r="M238" s="16">
        <f>INDEX(Weapons!$I$3:$I$204,A238)</f>
        <v>0</v>
      </c>
      <c r="N238" s="145">
        <v>0</v>
      </c>
      <c r="O238" s="16">
        <f t="shared" si="6"/>
        <v>0</v>
      </c>
      <c r="P238" s="116">
        <f t="shared" si="7"/>
        <v>0</v>
      </c>
    </row>
    <row r="239" spans="1:16" ht="16.5" customHeight="1">
      <c r="A239" s="118">
        <v>1</v>
      </c>
      <c r="B239" s="16"/>
      <c r="C239" s="16"/>
      <c r="D239" s="16"/>
      <c r="E239" s="16">
        <f>INDEX(Weapons!$D$3:$D$204,A239)</f>
        <v>0</v>
      </c>
      <c r="F239" s="16">
        <f>INDEX(Weapons!$E$3:$E$204,A239)</f>
        <v>0</v>
      </c>
      <c r="G239" s="16">
        <f>INDEX(Weapons!$C$3:$C$204,A239)</f>
        <v>0</v>
      </c>
      <c r="H239" s="16">
        <f>INDEX(Weapons!$G$3:$G$204,A239)</f>
        <v>0</v>
      </c>
      <c r="I239" s="16">
        <f>INDEX(Weapons!$H$3:$H$204,A239)</f>
        <v>0</v>
      </c>
      <c r="J239" s="16">
        <f>INDEX(Weapons!$F$3:$F$204,A239)</f>
        <v>0</v>
      </c>
      <c r="K239" s="16">
        <f t="shared" si="8"/>
        <v>0</v>
      </c>
      <c r="L239" s="16">
        <f>INDEX(Weapons!$J$3:$J$204,A239)</f>
        <v>0</v>
      </c>
      <c r="M239" s="16">
        <f>INDEX(Weapons!$I$3:$I$204,A239)</f>
        <v>0</v>
      </c>
      <c r="N239" s="145">
        <v>0</v>
      </c>
      <c r="O239" s="16">
        <f t="shared" si="6"/>
        <v>0</v>
      </c>
      <c r="P239" s="116">
        <f t="shared" si="7"/>
        <v>0</v>
      </c>
    </row>
    <row r="240" spans="1:16" ht="16.5" customHeight="1">
      <c r="A240" s="118">
        <v>1</v>
      </c>
      <c r="B240" s="16"/>
      <c r="C240" s="16"/>
      <c r="D240" s="16"/>
      <c r="E240" s="16">
        <f>INDEX(Weapons!$D$3:$D$204,A240)</f>
        <v>0</v>
      </c>
      <c r="F240" s="16">
        <f>INDEX(Weapons!$E$3:$E$204,A240)</f>
        <v>0</v>
      </c>
      <c r="G240" s="16">
        <f>INDEX(Weapons!$C$3:$C$204,A240)</f>
        <v>0</v>
      </c>
      <c r="H240" s="16">
        <f>INDEX(Weapons!$G$3:$G$204,A240)</f>
        <v>0</v>
      </c>
      <c r="I240" s="16">
        <f>INDEX(Weapons!$H$3:$H$204,A240)</f>
        <v>0</v>
      </c>
      <c r="J240" s="16">
        <f>INDEX(Weapons!$F$3:$F$204,A240)</f>
        <v>0</v>
      </c>
      <c r="K240" s="16">
        <f t="shared" si="8"/>
        <v>0</v>
      </c>
      <c r="L240" s="16">
        <f>INDEX(Weapons!$J$3:$J$204,A240)</f>
        <v>0</v>
      </c>
      <c r="M240" s="16">
        <f>INDEX(Weapons!$I$3:$I$204,A240)</f>
        <v>0</v>
      </c>
      <c r="N240" s="145">
        <v>0</v>
      </c>
      <c r="O240" s="16">
        <f t="shared" si="6"/>
        <v>0</v>
      </c>
      <c r="P240" s="116">
        <f t="shared" si="7"/>
        <v>0</v>
      </c>
    </row>
    <row r="241" spans="1:16" ht="16.5" customHeight="1">
      <c r="A241" s="118">
        <v>1</v>
      </c>
      <c r="B241" s="16"/>
      <c r="C241" s="16"/>
      <c r="D241" s="16"/>
      <c r="E241" s="16">
        <f>INDEX(Weapons!$D$3:$D$204,A241)</f>
        <v>0</v>
      </c>
      <c r="F241" s="16">
        <f>INDEX(Weapons!$E$3:$E$204,A241)</f>
        <v>0</v>
      </c>
      <c r="G241" s="16">
        <f>INDEX(Weapons!$C$3:$C$204,A241)</f>
        <v>0</v>
      </c>
      <c r="H241" s="16">
        <f>INDEX(Weapons!$G$3:$G$204,A241)</f>
        <v>0</v>
      </c>
      <c r="I241" s="16">
        <f>INDEX(Weapons!$H$3:$H$204,A241)</f>
        <v>0</v>
      </c>
      <c r="J241" s="16">
        <f>INDEX(Weapons!$F$3:$F$204,A241)</f>
        <v>0</v>
      </c>
      <c r="K241" s="16">
        <f t="shared" si="8"/>
        <v>0</v>
      </c>
      <c r="L241" s="16">
        <f>INDEX(Weapons!$J$3:$J$204,A241)</f>
        <v>0</v>
      </c>
      <c r="M241" s="16">
        <f>INDEX(Weapons!$I$3:$I$204,A241)</f>
        <v>0</v>
      </c>
      <c r="N241" s="145">
        <v>0</v>
      </c>
      <c r="O241" s="16">
        <f t="shared" si="6"/>
        <v>0</v>
      </c>
      <c r="P241" s="116">
        <f t="shared" si="7"/>
        <v>0</v>
      </c>
    </row>
    <row r="242" spans="1:16" ht="16.5" customHeight="1">
      <c r="A242" s="118">
        <v>1</v>
      </c>
      <c r="B242" s="16"/>
      <c r="C242" s="16"/>
      <c r="D242" s="16"/>
      <c r="E242" s="16">
        <f>INDEX(Weapons!$D$3:$D$204,A242)</f>
        <v>0</v>
      </c>
      <c r="F242" s="16">
        <f>INDEX(Weapons!$E$3:$E$204,A242)</f>
        <v>0</v>
      </c>
      <c r="G242" s="16">
        <f>INDEX(Weapons!$C$3:$C$204,A242)</f>
        <v>0</v>
      </c>
      <c r="H242" s="16">
        <f>INDEX(Weapons!$G$3:$G$204,A242)</f>
        <v>0</v>
      </c>
      <c r="I242" s="16">
        <f>INDEX(Weapons!$H$3:$H$204,A242)</f>
        <v>0</v>
      </c>
      <c r="J242" s="16">
        <f>INDEX(Weapons!$F$3:$F$204,A242)</f>
        <v>0</v>
      </c>
      <c r="K242" s="16">
        <f t="shared" si="8"/>
        <v>0</v>
      </c>
      <c r="L242" s="16">
        <f>INDEX(Weapons!$J$3:$J$204,A242)</f>
        <v>0</v>
      </c>
      <c r="M242" s="16">
        <f>INDEX(Weapons!$I$3:$I$204,A242)</f>
        <v>0</v>
      </c>
      <c r="N242" s="145">
        <v>0</v>
      </c>
      <c r="O242" s="16">
        <f t="shared" si="6"/>
        <v>0</v>
      </c>
      <c r="P242" s="116">
        <f t="shared" si="7"/>
        <v>0</v>
      </c>
    </row>
    <row r="243" spans="1:16" ht="16.5" customHeight="1">
      <c r="A243" s="118">
        <v>1</v>
      </c>
      <c r="B243" s="16"/>
      <c r="C243" s="16"/>
      <c r="D243" s="16"/>
      <c r="E243" s="16">
        <f>INDEX(Weapons!$D$3:$D$204,A243)</f>
        <v>0</v>
      </c>
      <c r="F243" s="16">
        <f>INDEX(Weapons!$E$3:$E$204,A243)</f>
        <v>0</v>
      </c>
      <c r="G243" s="16">
        <f>INDEX(Weapons!$C$3:$C$204,A243)</f>
        <v>0</v>
      </c>
      <c r="H243" s="16">
        <f>INDEX(Weapons!$G$3:$G$204,A243)</f>
        <v>0</v>
      </c>
      <c r="I243" s="16">
        <f>INDEX(Weapons!$H$3:$H$204,A243)</f>
        <v>0</v>
      </c>
      <c r="J243" s="16">
        <f>INDEX(Weapons!$F$3:$F$204,A243)</f>
        <v>0</v>
      </c>
      <c r="K243" s="16">
        <f t="shared" si="8"/>
        <v>0</v>
      </c>
      <c r="L243" s="16">
        <f>INDEX(Weapons!$J$3:$J$204,A243)</f>
        <v>0</v>
      </c>
      <c r="M243" s="16">
        <f>INDEX(Weapons!$I$3:$I$204,A243)</f>
        <v>0</v>
      </c>
      <c r="N243" s="145">
        <v>0</v>
      </c>
      <c r="O243" s="16">
        <f t="shared" si="6"/>
        <v>0</v>
      </c>
      <c r="P243" s="116">
        <f t="shared" si="7"/>
        <v>0</v>
      </c>
    </row>
    <row r="244" spans="1:16" ht="16.5" customHeight="1">
      <c r="A244" s="118">
        <v>1</v>
      </c>
      <c r="B244" s="16"/>
      <c r="C244" s="16"/>
      <c r="D244" s="16"/>
      <c r="E244" s="16">
        <f>INDEX(Weapons!$D$3:$D$204,A244)</f>
        <v>0</v>
      </c>
      <c r="F244" s="16">
        <f>INDEX(Weapons!$E$3:$E$204,A244)</f>
        <v>0</v>
      </c>
      <c r="G244" s="16">
        <f>INDEX(Weapons!$C$3:$C$204,A244)</f>
        <v>0</v>
      </c>
      <c r="H244" s="16">
        <f>INDEX(Weapons!$G$3:$G$204,A244)</f>
        <v>0</v>
      </c>
      <c r="I244" s="16">
        <f>INDEX(Weapons!$H$3:$H$204,A244)</f>
        <v>0</v>
      </c>
      <c r="J244" s="16">
        <f>INDEX(Weapons!$F$3:$F$204,A244)</f>
        <v>0</v>
      </c>
      <c r="K244" s="16">
        <f t="shared" si="8"/>
        <v>0</v>
      </c>
      <c r="L244" s="16">
        <f>INDEX(Weapons!$J$3:$J$204,A244)</f>
        <v>0</v>
      </c>
      <c r="M244" s="16">
        <f>INDEX(Weapons!$I$3:$I$204,A244)</f>
        <v>0</v>
      </c>
      <c r="N244" s="145">
        <v>0</v>
      </c>
      <c r="O244" s="16">
        <f t="shared" si="6"/>
        <v>0</v>
      </c>
      <c r="P244" s="116">
        <f t="shared" si="7"/>
        <v>0</v>
      </c>
    </row>
    <row r="245" spans="1:16" ht="16.5" customHeight="1">
      <c r="A245" s="118">
        <v>1</v>
      </c>
      <c r="B245" s="16"/>
      <c r="C245" s="16"/>
      <c r="D245" s="16"/>
      <c r="E245" s="16">
        <f>INDEX(Weapons!$D$3:$D$204,A245)</f>
        <v>0</v>
      </c>
      <c r="F245" s="16">
        <f>INDEX(Weapons!$E$3:$E$204,A245)</f>
        <v>0</v>
      </c>
      <c r="G245" s="16">
        <f>INDEX(Weapons!$C$3:$C$204,A245)</f>
        <v>0</v>
      </c>
      <c r="H245" s="16">
        <f>INDEX(Weapons!$G$3:$G$204,A245)</f>
        <v>0</v>
      </c>
      <c r="I245" s="16">
        <f>INDEX(Weapons!$H$3:$H$204,A245)</f>
        <v>0</v>
      </c>
      <c r="J245" s="16">
        <f>INDEX(Weapons!$F$3:$F$204,A245)</f>
        <v>0</v>
      </c>
      <c r="K245" s="16">
        <f t="shared" si="8"/>
        <v>0</v>
      </c>
      <c r="L245" s="16">
        <f>INDEX(Weapons!$J$3:$J$204,A245)</f>
        <v>0</v>
      </c>
      <c r="M245" s="16">
        <f>INDEX(Weapons!$I$3:$I$204,A245)</f>
        <v>0</v>
      </c>
      <c r="N245" s="145">
        <v>0</v>
      </c>
      <c r="O245" s="16">
        <f t="shared" si="6"/>
        <v>0</v>
      </c>
      <c r="P245" s="116">
        <f t="shared" si="7"/>
        <v>0</v>
      </c>
    </row>
    <row r="246" spans="1:16" ht="16.5" customHeight="1">
      <c r="A246" s="118">
        <v>1</v>
      </c>
      <c r="B246" s="16"/>
      <c r="C246" s="16"/>
      <c r="D246" s="16"/>
      <c r="E246" s="16">
        <f>INDEX(Weapons!$D$3:$D$204,A246)</f>
        <v>0</v>
      </c>
      <c r="F246" s="16">
        <f>INDEX(Weapons!$E$3:$E$204,A246)</f>
        <v>0</v>
      </c>
      <c r="G246" s="16">
        <f>INDEX(Weapons!$C$3:$C$204,A246)</f>
        <v>0</v>
      </c>
      <c r="H246" s="16">
        <f>INDEX(Weapons!$G$3:$G$204,A246)</f>
        <v>0</v>
      </c>
      <c r="I246" s="16">
        <f>INDEX(Weapons!$H$3:$H$204,A246)</f>
        <v>0</v>
      </c>
      <c r="J246" s="16">
        <f>INDEX(Weapons!$F$3:$F$204,A246)</f>
        <v>0</v>
      </c>
      <c r="K246" s="16">
        <f t="shared" si="8"/>
        <v>0</v>
      </c>
      <c r="L246" s="16">
        <f>INDEX(Weapons!$J$3:$J$204,A246)</f>
        <v>0</v>
      </c>
      <c r="M246" s="16">
        <f>INDEX(Weapons!$I$3:$I$204,A246)</f>
        <v>0</v>
      </c>
      <c r="N246" s="145">
        <v>0</v>
      </c>
      <c r="O246" s="16">
        <f t="shared" si="6"/>
        <v>0</v>
      </c>
      <c r="P246" s="116">
        <f t="shared" si="7"/>
        <v>0</v>
      </c>
    </row>
    <row r="247" spans="1:16" ht="16.5" customHeight="1">
      <c r="A247" s="118">
        <v>1</v>
      </c>
      <c r="B247" s="16"/>
      <c r="C247" s="16"/>
      <c r="D247" s="16"/>
      <c r="E247" s="16">
        <f>INDEX(Weapons!$D$3:$D$204,A247)</f>
        <v>0</v>
      </c>
      <c r="F247" s="16">
        <f>INDEX(Weapons!$E$3:$E$204,A247)</f>
        <v>0</v>
      </c>
      <c r="G247" s="16">
        <f>INDEX(Weapons!$C$3:$C$204,A247)</f>
        <v>0</v>
      </c>
      <c r="H247" s="16">
        <f>INDEX(Weapons!$G$3:$G$204,A247)</f>
        <v>0</v>
      </c>
      <c r="I247" s="16">
        <f>INDEX(Weapons!$H$3:$H$204,A247)</f>
        <v>0</v>
      </c>
      <c r="J247" s="16">
        <f>INDEX(Weapons!$F$3:$F$204,A247)</f>
        <v>0</v>
      </c>
      <c r="K247" s="16">
        <f t="shared" si="8"/>
        <v>0</v>
      </c>
      <c r="L247" s="16">
        <f>INDEX(Weapons!$J$3:$J$204,A247)</f>
        <v>0</v>
      </c>
      <c r="M247" s="16">
        <f>INDEX(Weapons!$I$3:$I$204,A247)</f>
        <v>0</v>
      </c>
      <c r="N247" s="145">
        <v>0</v>
      </c>
      <c r="O247" s="16">
        <f t="shared" si="6"/>
        <v>0</v>
      </c>
      <c r="P247" s="116">
        <f t="shared" si="7"/>
        <v>0</v>
      </c>
    </row>
    <row r="248" spans="1:16" ht="16.5" customHeight="1">
      <c r="A248" s="118">
        <v>1</v>
      </c>
      <c r="B248" s="16"/>
      <c r="C248" s="16"/>
      <c r="D248" s="16"/>
      <c r="E248" s="16">
        <f>INDEX(Weapons!$D$3:$D$204,A248)</f>
        <v>0</v>
      </c>
      <c r="F248" s="16">
        <f>INDEX(Weapons!$E$3:$E$204,A248)</f>
        <v>0</v>
      </c>
      <c r="G248" s="16">
        <f>INDEX(Weapons!$C$3:$C$204,A248)</f>
        <v>0</v>
      </c>
      <c r="H248" s="16">
        <f>INDEX(Weapons!$G$3:$G$204,A248)</f>
        <v>0</v>
      </c>
      <c r="I248" s="16">
        <f>INDEX(Weapons!$H$3:$H$204,A248)</f>
        <v>0</v>
      </c>
      <c r="J248" s="16">
        <f>INDEX(Weapons!$F$3:$F$204,A248)</f>
        <v>0</v>
      </c>
      <c r="K248" s="16">
        <f t="shared" si="8"/>
        <v>0</v>
      </c>
      <c r="L248" s="16">
        <f>INDEX(Weapons!$J$3:$J$204,A248)</f>
        <v>0</v>
      </c>
      <c r="M248" s="16">
        <f>INDEX(Weapons!$I$3:$I$204,A248)</f>
        <v>0</v>
      </c>
      <c r="N248" s="145">
        <v>0</v>
      </c>
      <c r="O248" s="16">
        <f t="shared" si="6"/>
        <v>0</v>
      </c>
      <c r="P248" s="116">
        <f t="shared" si="7"/>
        <v>0</v>
      </c>
    </row>
    <row r="249" spans="1:16" ht="16.5" customHeight="1">
      <c r="A249" s="118">
        <v>1</v>
      </c>
      <c r="B249" s="16"/>
      <c r="C249" s="16"/>
      <c r="D249" s="16"/>
      <c r="E249" s="16">
        <f>INDEX(Weapons!$D$3:$D$204,A249)</f>
        <v>0</v>
      </c>
      <c r="F249" s="16">
        <f>INDEX(Weapons!$E$3:$E$204,A249)</f>
        <v>0</v>
      </c>
      <c r="G249" s="16">
        <f>INDEX(Weapons!$C$3:$C$204,A249)</f>
        <v>0</v>
      </c>
      <c r="H249" s="16">
        <f>INDEX(Weapons!$G$3:$G$204,A249)</f>
        <v>0</v>
      </c>
      <c r="I249" s="16">
        <f>INDEX(Weapons!$H$3:$H$204,A249)</f>
        <v>0</v>
      </c>
      <c r="J249" s="16">
        <f>INDEX(Weapons!$F$3:$F$204,A249)</f>
        <v>0</v>
      </c>
      <c r="K249" s="16">
        <f t="shared" si="8"/>
        <v>0</v>
      </c>
      <c r="L249" s="16">
        <f>INDEX(Weapons!$J$3:$J$204,A249)</f>
        <v>0</v>
      </c>
      <c r="M249" s="16">
        <f>INDEX(Weapons!$I$3:$I$204,A249)</f>
        <v>0</v>
      </c>
      <c r="N249" s="145">
        <v>0</v>
      </c>
      <c r="O249" s="16">
        <f t="shared" si="6"/>
        <v>0</v>
      </c>
      <c r="P249" s="116">
        <f t="shared" si="7"/>
        <v>0</v>
      </c>
    </row>
    <row r="250" spans="1:16" ht="16.5" customHeight="1">
      <c r="A250" s="118">
        <v>1</v>
      </c>
      <c r="B250" s="16"/>
      <c r="C250" s="16"/>
      <c r="D250" s="16"/>
      <c r="E250" s="16">
        <f>INDEX(Weapons!$D$3:$D$204,A250)</f>
        <v>0</v>
      </c>
      <c r="F250" s="16">
        <f>INDEX(Weapons!$E$3:$E$204,A250)</f>
        <v>0</v>
      </c>
      <c r="G250" s="16">
        <f>INDEX(Weapons!$C$3:$C$204,A250)</f>
        <v>0</v>
      </c>
      <c r="H250" s="16">
        <f>INDEX(Weapons!$G$3:$G$204,A250)</f>
        <v>0</v>
      </c>
      <c r="I250" s="16">
        <f>INDEX(Weapons!$H$3:$H$204,A250)</f>
        <v>0</v>
      </c>
      <c r="J250" s="16">
        <f>INDEX(Weapons!$F$3:$F$204,A250)</f>
        <v>0</v>
      </c>
      <c r="K250" s="16">
        <f t="shared" si="8"/>
        <v>0</v>
      </c>
      <c r="L250" s="16">
        <f>INDEX(Weapons!$J$3:$J$204,A250)</f>
        <v>0</v>
      </c>
      <c r="M250" s="16">
        <f>INDEX(Weapons!$I$3:$I$204,A250)</f>
        <v>0</v>
      </c>
      <c r="N250" s="145">
        <v>0</v>
      </c>
      <c r="O250" s="16">
        <f t="shared" si="6"/>
        <v>0</v>
      </c>
      <c r="P250" s="116">
        <f t="shared" si="7"/>
        <v>0</v>
      </c>
    </row>
    <row r="251" spans="1:16" ht="16.5" customHeight="1">
      <c r="A251" s="118">
        <v>1</v>
      </c>
      <c r="B251" s="16"/>
      <c r="C251" s="16"/>
      <c r="D251" s="16"/>
      <c r="E251" s="16">
        <f>INDEX(Weapons!$D$3:$D$204,A251)</f>
        <v>0</v>
      </c>
      <c r="F251" s="16">
        <f>INDEX(Weapons!$E$3:$E$204,A251)</f>
        <v>0</v>
      </c>
      <c r="G251" s="16">
        <f>INDEX(Weapons!$C$3:$C$204,A251)</f>
        <v>0</v>
      </c>
      <c r="H251" s="16">
        <f>INDEX(Weapons!$G$3:$G$204,A251)</f>
        <v>0</v>
      </c>
      <c r="I251" s="16">
        <f>INDEX(Weapons!$H$3:$H$204,A251)</f>
        <v>0</v>
      </c>
      <c r="J251" s="16">
        <f>INDEX(Weapons!$F$3:$F$204,A251)</f>
        <v>0</v>
      </c>
      <c r="K251" s="16">
        <f t="shared" si="8"/>
        <v>0</v>
      </c>
      <c r="L251" s="16">
        <f>INDEX(Weapons!$J$3:$J$204,A251)</f>
        <v>0</v>
      </c>
      <c r="M251" s="16">
        <f>INDEX(Weapons!$I$3:$I$204,A251)</f>
        <v>0</v>
      </c>
      <c r="N251" s="145">
        <v>0</v>
      </c>
      <c r="O251" s="16">
        <f t="shared" si="6"/>
        <v>0</v>
      </c>
      <c r="P251" s="116">
        <f t="shared" si="7"/>
        <v>0</v>
      </c>
    </row>
    <row r="252" spans="1:16" ht="16.5" customHeight="1">
      <c r="A252" s="118">
        <v>1</v>
      </c>
      <c r="B252" s="16"/>
      <c r="C252" s="16"/>
      <c r="D252" s="16"/>
      <c r="E252" s="16">
        <f>INDEX(Weapons!$D$3:$D$204,A252)</f>
        <v>0</v>
      </c>
      <c r="F252" s="16">
        <f>INDEX(Weapons!$E$3:$E$204,A252)</f>
        <v>0</v>
      </c>
      <c r="G252" s="16">
        <f>INDEX(Weapons!$C$3:$C$204,A252)</f>
        <v>0</v>
      </c>
      <c r="H252" s="16">
        <f>INDEX(Weapons!$G$3:$G$204,A252)</f>
        <v>0</v>
      </c>
      <c r="I252" s="16">
        <f>INDEX(Weapons!$H$3:$H$204,A252)</f>
        <v>0</v>
      </c>
      <c r="J252" s="16">
        <f>INDEX(Weapons!$F$3:$F$204,A252)</f>
        <v>0</v>
      </c>
      <c r="K252" s="16">
        <f t="shared" si="8"/>
        <v>0</v>
      </c>
      <c r="L252" s="16">
        <f>INDEX(Weapons!$J$3:$J$204,A252)</f>
        <v>0</v>
      </c>
      <c r="M252" s="16">
        <f>INDEX(Weapons!$I$3:$I$204,A252)</f>
        <v>0</v>
      </c>
      <c r="N252" s="145">
        <v>0</v>
      </c>
      <c r="O252" s="16">
        <f t="shared" si="6"/>
        <v>0</v>
      </c>
      <c r="P252" s="116">
        <f t="shared" si="7"/>
        <v>0</v>
      </c>
    </row>
    <row r="253" spans="1:16" ht="16.5" customHeight="1">
      <c r="A253" s="118">
        <v>1</v>
      </c>
      <c r="B253" s="16"/>
      <c r="C253" s="16"/>
      <c r="D253" s="16"/>
      <c r="E253" s="16">
        <f>INDEX(Weapons!$D$3:$D$204,A253)</f>
        <v>0</v>
      </c>
      <c r="F253" s="16">
        <f>INDEX(Weapons!$E$3:$E$204,A253)</f>
        <v>0</v>
      </c>
      <c r="G253" s="16">
        <f>INDEX(Weapons!$C$3:$C$204,A253)</f>
        <v>0</v>
      </c>
      <c r="H253" s="16">
        <f>INDEX(Weapons!$G$3:$G$204,A253)</f>
        <v>0</v>
      </c>
      <c r="I253" s="16">
        <f>INDEX(Weapons!$H$3:$H$204,A253)</f>
        <v>0</v>
      </c>
      <c r="J253" s="16">
        <f>INDEX(Weapons!$F$3:$F$204,A253)</f>
        <v>0</v>
      </c>
      <c r="K253" s="16">
        <f t="shared" si="8"/>
        <v>0</v>
      </c>
      <c r="L253" s="16">
        <f>INDEX(Weapons!$J$3:$J$204,A253)</f>
        <v>0</v>
      </c>
      <c r="M253" s="16">
        <f>INDEX(Weapons!$I$3:$I$204,A253)</f>
        <v>0</v>
      </c>
      <c r="N253" s="145">
        <v>0</v>
      </c>
      <c r="O253" s="16">
        <f t="shared" si="6"/>
        <v>0</v>
      </c>
      <c r="P253" s="116">
        <f t="shared" si="7"/>
        <v>0</v>
      </c>
    </row>
    <row r="254" spans="1:16" ht="16.5" customHeight="1">
      <c r="A254" s="118">
        <v>1</v>
      </c>
      <c r="B254" s="16"/>
      <c r="C254" s="16"/>
      <c r="D254" s="16"/>
      <c r="E254" s="16">
        <f>INDEX(Weapons!$D$3:$D$204,A254)</f>
        <v>0</v>
      </c>
      <c r="F254" s="16">
        <f>INDEX(Weapons!$E$3:$E$204,A254)</f>
        <v>0</v>
      </c>
      <c r="G254" s="16">
        <f>INDEX(Weapons!$C$3:$C$204,A254)</f>
        <v>0</v>
      </c>
      <c r="H254" s="16">
        <f>INDEX(Weapons!$G$3:$G$204,A254)</f>
        <v>0</v>
      </c>
      <c r="I254" s="16">
        <f>INDEX(Weapons!$H$3:$H$204,A254)</f>
        <v>0</v>
      </c>
      <c r="J254" s="16">
        <f>INDEX(Weapons!$F$3:$F$204,A254)</f>
        <v>0</v>
      </c>
      <c r="K254" s="16">
        <f t="shared" si="8"/>
        <v>0</v>
      </c>
      <c r="L254" s="16">
        <f>INDEX(Weapons!$J$3:$J$204,A254)</f>
        <v>0</v>
      </c>
      <c r="M254" s="16">
        <f>INDEX(Weapons!$I$3:$I$204,A254)</f>
        <v>0</v>
      </c>
      <c r="N254" s="145">
        <v>0</v>
      </c>
      <c r="O254" s="16">
        <f t="shared" si="6"/>
        <v>0</v>
      </c>
      <c r="P254" s="116">
        <f t="shared" si="7"/>
        <v>0</v>
      </c>
    </row>
    <row r="255" spans="1:16" ht="16.5" customHeight="1">
      <c r="A255" s="118">
        <v>1</v>
      </c>
      <c r="B255" s="16"/>
      <c r="C255" s="16"/>
      <c r="D255" s="16"/>
      <c r="E255" s="16">
        <f>INDEX(Weapons!$D$3:$D$204,A255)</f>
        <v>0</v>
      </c>
      <c r="F255" s="16">
        <f>INDEX(Weapons!$E$3:$E$204,A255)</f>
        <v>0</v>
      </c>
      <c r="G255" s="16">
        <f>INDEX(Weapons!$C$3:$C$204,A255)</f>
        <v>0</v>
      </c>
      <c r="H255" s="16">
        <f>INDEX(Weapons!$G$3:$G$204,A255)</f>
        <v>0</v>
      </c>
      <c r="I255" s="16">
        <f>INDEX(Weapons!$H$3:$H$204,A255)</f>
        <v>0</v>
      </c>
      <c r="J255" s="16">
        <f>INDEX(Weapons!$F$3:$F$204,A255)</f>
        <v>0</v>
      </c>
      <c r="K255" s="16">
        <f t="shared" si="8"/>
        <v>0</v>
      </c>
      <c r="L255" s="16">
        <f>INDEX(Weapons!$J$3:$J$204,A255)</f>
        <v>0</v>
      </c>
      <c r="M255" s="16">
        <f>INDEX(Weapons!$I$3:$I$204,A255)</f>
        <v>0</v>
      </c>
      <c r="N255" s="145">
        <v>0</v>
      </c>
      <c r="O255" s="16">
        <f t="shared" si="6"/>
        <v>0</v>
      </c>
      <c r="P255" s="116">
        <f t="shared" si="7"/>
        <v>0</v>
      </c>
    </row>
    <row r="256" spans="1:16" ht="16.5" customHeight="1">
      <c r="A256" s="118">
        <v>1</v>
      </c>
      <c r="B256" s="16"/>
      <c r="C256" s="16"/>
      <c r="D256" s="16"/>
      <c r="E256" s="16">
        <f>INDEX(Weapons!$D$3:$D$204,A256)</f>
        <v>0</v>
      </c>
      <c r="F256" s="16">
        <f>INDEX(Weapons!$E$3:$E$204,A256)</f>
        <v>0</v>
      </c>
      <c r="G256" s="16">
        <f>INDEX(Weapons!$C$3:$C$204,A256)</f>
        <v>0</v>
      </c>
      <c r="H256" s="16">
        <f>INDEX(Weapons!$G$3:$G$204,A256)</f>
        <v>0</v>
      </c>
      <c r="I256" s="16">
        <f>INDEX(Weapons!$H$3:$H$204,A256)</f>
        <v>0</v>
      </c>
      <c r="J256" s="16">
        <f>INDEX(Weapons!$F$3:$F$204,A256)</f>
        <v>0</v>
      </c>
      <c r="K256" s="16">
        <f t="shared" si="8"/>
        <v>0</v>
      </c>
      <c r="L256" s="16">
        <f>INDEX(Weapons!$J$3:$J$204,A256)</f>
        <v>0</v>
      </c>
      <c r="M256" s="16">
        <f>INDEX(Weapons!$I$3:$I$204,A256)</f>
        <v>0</v>
      </c>
      <c r="N256" s="145">
        <v>0</v>
      </c>
      <c r="O256" s="16">
        <f t="shared" si="6"/>
        <v>0</v>
      </c>
      <c r="P256" s="116">
        <f t="shared" si="7"/>
        <v>0</v>
      </c>
    </row>
    <row r="257" spans="1:16" ht="16.5" customHeight="1">
      <c r="A257" s="118">
        <v>1</v>
      </c>
      <c r="B257" s="16"/>
      <c r="C257" s="16"/>
      <c r="D257" s="16"/>
      <c r="E257" s="16">
        <f>INDEX(Weapons!$D$3:$D$204,A257)</f>
        <v>0</v>
      </c>
      <c r="F257" s="16">
        <f>INDEX(Weapons!$E$3:$E$204,A257)</f>
        <v>0</v>
      </c>
      <c r="G257" s="16">
        <f>INDEX(Weapons!$C$3:$C$204,A257)</f>
        <v>0</v>
      </c>
      <c r="H257" s="16">
        <f>INDEX(Weapons!$G$3:$G$204,A257)</f>
        <v>0</v>
      </c>
      <c r="I257" s="16">
        <f>INDEX(Weapons!$H$3:$H$204,A257)</f>
        <v>0</v>
      </c>
      <c r="J257" s="16">
        <f>INDEX(Weapons!$F$3:$F$204,A257)</f>
        <v>0</v>
      </c>
      <c r="K257" s="16">
        <f>H257/2</f>
        <v>0</v>
      </c>
      <c r="L257" s="16">
        <f>INDEX(Weapons!$J$3:$J$204,A257)</f>
        <v>0</v>
      </c>
      <c r="M257" s="16">
        <f>INDEX(Weapons!$I$3:$I$204,A257)</f>
        <v>0</v>
      </c>
      <c r="N257" s="145">
        <v>0</v>
      </c>
      <c r="O257" s="16">
        <f>L257-N257</f>
        <v>0</v>
      </c>
      <c r="P257" s="116">
        <f>M257+(0.5*N257)</f>
        <v>0</v>
      </c>
    </row>
    <row r="258" spans="1:16" ht="16.5" customHeight="1">
      <c r="A258" s="119">
        <v>1</v>
      </c>
      <c r="B258" s="16"/>
      <c r="C258" s="120"/>
      <c r="D258" s="120"/>
      <c r="E258" s="16">
        <f>INDEX(Weapons!$D$3:$D$204,A258)</f>
        <v>0</v>
      </c>
      <c r="F258" s="16">
        <f>INDEX(Weapons!$E$3:$E$204,A258)</f>
        <v>0</v>
      </c>
      <c r="G258" s="16">
        <f>INDEX(Weapons!$C$3:$C$204,A258)</f>
        <v>0</v>
      </c>
      <c r="H258" s="16">
        <f>INDEX(Weapons!$G$3:$G$204,A258)</f>
        <v>0</v>
      </c>
      <c r="I258" s="16">
        <f>INDEX(Weapons!$H$3:$H$204,A258)</f>
        <v>0</v>
      </c>
      <c r="J258" s="16">
        <f>INDEX(Weapons!$F$3:$F$204,A258)</f>
        <v>0</v>
      </c>
      <c r="K258" s="16">
        <f>H258/2</f>
        <v>0</v>
      </c>
      <c r="L258" s="16">
        <f>INDEX(Weapons!$J$3:$J$204,A258)</f>
        <v>0</v>
      </c>
      <c r="M258" s="16">
        <f>INDEX(Weapons!$I$3:$I$204,A258)</f>
        <v>0</v>
      </c>
      <c r="N258" s="145">
        <v>0</v>
      </c>
      <c r="O258" s="16">
        <f>L258-N258</f>
        <v>0</v>
      </c>
      <c r="P258" s="116">
        <f>M258+(0.5*N258)</f>
        <v>0</v>
      </c>
    </row>
    <row r="259" spans="1:16" ht="16.5" customHeight="1">
      <c r="A259" s="118">
        <v>1</v>
      </c>
      <c r="B259" s="16"/>
      <c r="C259" s="16"/>
      <c r="D259" s="16"/>
      <c r="E259" s="16">
        <f>INDEX(Weapons!$D$3:$D$204,A259)</f>
        <v>0</v>
      </c>
      <c r="F259" s="16">
        <f>INDEX(Weapons!$E$3:$E$204,A259)</f>
        <v>0</v>
      </c>
      <c r="G259" s="16">
        <f>INDEX(Weapons!$C$3:$C$204,A259)</f>
        <v>0</v>
      </c>
      <c r="H259" s="16">
        <f>INDEX(Weapons!$G$3:$G$204,A259)</f>
        <v>0</v>
      </c>
      <c r="I259" s="16">
        <f>INDEX(Weapons!$H$3:$H$204,A259)</f>
        <v>0</v>
      </c>
      <c r="J259" s="16">
        <f>INDEX(Weapons!$F$3:$F$204,A259)</f>
        <v>0</v>
      </c>
      <c r="K259" s="16">
        <f>H259/2</f>
        <v>0</v>
      </c>
      <c r="L259" s="16">
        <f>INDEX(Weapons!$J$3:$J$204,A259)</f>
        <v>0</v>
      </c>
      <c r="M259" s="16">
        <f>INDEX(Weapons!$I$3:$I$204,A259)</f>
        <v>0</v>
      </c>
      <c r="N259" s="145">
        <v>0</v>
      </c>
      <c r="O259" s="16">
        <f>L259-N259</f>
        <v>0</v>
      </c>
      <c r="P259" s="116">
        <f>M259+(0.5*N259)</f>
        <v>0</v>
      </c>
    </row>
    <row r="260" spans="1:16" ht="16.5" customHeight="1">
      <c r="A260" s="118">
        <v>1</v>
      </c>
      <c r="B260" s="16"/>
      <c r="C260" s="16"/>
      <c r="D260" s="16"/>
      <c r="E260" s="16">
        <f>INDEX(Weapons!$D$3:$D$204,A260)</f>
        <v>0</v>
      </c>
      <c r="F260" s="16">
        <f>INDEX(Weapons!$E$3:$E$204,A260)</f>
        <v>0</v>
      </c>
      <c r="G260" s="16">
        <f>INDEX(Weapons!$C$3:$C$204,A260)</f>
        <v>0</v>
      </c>
      <c r="H260" s="16">
        <f>INDEX(Weapons!$G$3:$G$204,A260)</f>
        <v>0</v>
      </c>
      <c r="I260" s="16">
        <f>INDEX(Weapons!$H$3:$H$204,A260)</f>
        <v>0</v>
      </c>
      <c r="J260" s="16">
        <f>INDEX(Weapons!$F$3:$F$204,A260)</f>
        <v>0</v>
      </c>
      <c r="K260" s="16">
        <f>H260/2</f>
        <v>0</v>
      </c>
      <c r="L260" s="16">
        <f>INDEX(Weapons!$J$3:$J$204,A260)</f>
        <v>0</v>
      </c>
      <c r="M260" s="16">
        <f>INDEX(Weapons!$I$3:$I$204,A260)</f>
        <v>0</v>
      </c>
      <c r="N260" s="145">
        <v>0</v>
      </c>
      <c r="O260" s="16">
        <f>L260-N260</f>
        <v>0</v>
      </c>
      <c r="P260" s="116">
        <f>M260+(0.5*N260)</f>
        <v>0</v>
      </c>
    </row>
    <row r="261" spans="1:16" ht="16.5" customHeight="1" thickBot="1">
      <c r="A261" s="121">
        <v>1</v>
      </c>
      <c r="B261" s="122"/>
      <c r="C261" s="122"/>
      <c r="D261" s="122"/>
      <c r="E261" s="122">
        <f>INDEX(Weapons!$D$3:$D$204,A261)</f>
        <v>0</v>
      </c>
      <c r="F261" s="122">
        <f>INDEX(Weapons!$E$3:$E$204,A261)</f>
        <v>0</v>
      </c>
      <c r="G261" s="122">
        <f>INDEX(Weapons!$C$3:$C$204,A261)</f>
        <v>0</v>
      </c>
      <c r="H261" s="122">
        <f>INDEX(Weapons!$G$3:$G$204,A261)</f>
        <v>0</v>
      </c>
      <c r="I261" s="122">
        <f>INDEX(Weapons!$H$3:$H$204,A261)</f>
        <v>0</v>
      </c>
      <c r="J261" s="122">
        <f>INDEX(Weapons!$F$3:$F$204,A261)</f>
        <v>0</v>
      </c>
      <c r="K261" s="122">
        <f>H261/2</f>
        <v>0</v>
      </c>
      <c r="L261" s="122">
        <f>INDEX(Weapons!$J$3:$J$204,A261)</f>
        <v>0</v>
      </c>
      <c r="M261" s="122">
        <f>INDEX(Weapons!$I$3:$I$204,A261)</f>
        <v>0</v>
      </c>
      <c r="N261" s="149">
        <v>0</v>
      </c>
      <c r="O261" s="122">
        <f>L261-N261</f>
        <v>0</v>
      </c>
      <c r="P261" s="123">
        <f>M261+(0.5*N261)</f>
        <v>0</v>
      </c>
    </row>
    <row r="263" ht="16.5" customHeight="1" thickBot="1"/>
    <row r="264" spans="1:16" ht="16.5" customHeight="1">
      <c r="A264" s="162" t="s">
        <v>650</v>
      </c>
      <c r="B264" s="163"/>
      <c r="C264" s="124">
        <f>SUM(P266:P281)</f>
        <v>0</v>
      </c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5"/>
    </row>
    <row r="265" spans="1:16" ht="16.5" customHeight="1">
      <c r="A265" s="118" t="s">
        <v>29</v>
      </c>
      <c r="B265" s="164" t="s">
        <v>135</v>
      </c>
      <c r="C265" s="164"/>
      <c r="D265" s="126" t="s">
        <v>31</v>
      </c>
      <c r="E265" s="164" t="s">
        <v>640</v>
      </c>
      <c r="F265" s="164"/>
      <c r="G265" s="127" t="s">
        <v>653</v>
      </c>
      <c r="H265" s="16" t="s">
        <v>641</v>
      </c>
      <c r="I265" s="16"/>
      <c r="J265" s="16" t="s">
        <v>550</v>
      </c>
      <c r="K265" s="16" t="s">
        <v>644</v>
      </c>
      <c r="L265" s="16" t="s">
        <v>25</v>
      </c>
      <c r="M265" s="16" t="s">
        <v>24</v>
      </c>
      <c r="N265" s="16" t="s">
        <v>190</v>
      </c>
      <c r="O265" s="16" t="s">
        <v>116</v>
      </c>
      <c r="P265" s="116" t="s">
        <v>117</v>
      </c>
    </row>
    <row r="266" spans="1:16" ht="16.5" customHeight="1">
      <c r="A266" s="128">
        <v>4</v>
      </c>
      <c r="B266" s="158">
        <v>3</v>
      </c>
      <c r="C266" s="158"/>
      <c r="D266" s="100">
        <f>IF(G266=2,(B266+3)*(3/4),IF(G266=3,(B266+3)*(2/3),IF(G266=4,(B266+3)*(1/2),IF(G266=5,(B266+3)*(1/3),IF(G266=6,(B266+3)*(1/4),(B266+3))))))</f>
        <v>6</v>
      </c>
      <c r="E266" s="158">
        <v>1</v>
      </c>
      <c r="F266" s="158"/>
      <c r="G266" s="100">
        <v>1</v>
      </c>
      <c r="H266" s="161">
        <v>1</v>
      </c>
      <c r="I266" s="161">
        <v>1</v>
      </c>
      <c r="J266" s="101">
        <v>1</v>
      </c>
      <c r="K266" s="101">
        <v>1</v>
      </c>
      <c r="L266" s="99">
        <f>(IF(A266=1,1,IF(A266=2,M266/2,IF(A266=3,M266,0))))-D267+D266</f>
        <v>0</v>
      </c>
      <c r="M266" s="99">
        <f>B267*E267*G267*H267*J267*K267</f>
        <v>0</v>
      </c>
      <c r="N266" s="150">
        <v>0</v>
      </c>
      <c r="O266" s="99">
        <f>IF(A266&lt;3,L266-N266,0)</f>
        <v>0</v>
      </c>
      <c r="P266" s="129">
        <f>IF(A266&lt;3,O266/2+M266,0)</f>
        <v>0</v>
      </c>
    </row>
    <row r="267" spans="1:16" ht="16.5" customHeight="1">
      <c r="A267" s="128">
        <f>IF(A266=1,1,IF(A266=2,1.5,IF(A266=3,3,0)))</f>
        <v>0</v>
      </c>
      <c r="B267" s="158">
        <f>D266*A267</f>
        <v>0</v>
      </c>
      <c r="C267" s="158"/>
      <c r="D267" s="100">
        <f>(B266+3)</f>
        <v>6</v>
      </c>
      <c r="E267" s="158">
        <f>IF(E266=1,0.6,IF(E266=2,0.8,IF(E266=3,1,IF(E266=4,1.25,IF(E266=5,1.5,0)))))</f>
        <v>0.6</v>
      </c>
      <c r="F267" s="158"/>
      <c r="G267" s="100">
        <f>IF(G266=2,1.1,IF(G266=3,1.2,IF(G266=4,1.3,IF(G266=5,1.2,IF(G266=6,1.1,1)))))</f>
        <v>1</v>
      </c>
      <c r="H267" s="161">
        <f>IF(H266=1,0.5,IF(H266=2,0.75,IF(H266=3,1,IF(H266=4,1.5,IF(H266=5,2,0)))))</f>
        <v>0.5</v>
      </c>
      <c r="I267" s="161"/>
      <c r="J267" s="101">
        <f>J266*0.1+0.2</f>
        <v>0.30000000000000004</v>
      </c>
      <c r="K267" s="101">
        <f>IF(K266=1,1,IF(K266=2,1,IF(K266=3,0.75,IF(K266=4,0.75,IF(K266=5,0.75,IF(K266=6,0.5,IF(K266=7,2.5,0)))))))</f>
        <v>1</v>
      </c>
      <c r="L267" s="99"/>
      <c r="M267" s="99"/>
      <c r="N267" s="101"/>
      <c r="O267" s="99"/>
      <c r="P267" s="129"/>
    </row>
    <row r="268" spans="1:16" ht="16.5" customHeight="1">
      <c r="A268" s="128">
        <v>4</v>
      </c>
      <c r="B268" s="158">
        <v>3</v>
      </c>
      <c r="C268" s="158"/>
      <c r="D268" s="100">
        <f>IF(G268=2,(B268+3)*(3/4),IF(G268=3,(B268+3)*(2/3),IF(G268=4,(B268+3)*(1/2),IF(G268=5,(B268+3)*(1/3),IF(G268=6,(B268+3)*(1/4),(B268+3))))))</f>
        <v>6</v>
      </c>
      <c r="E268" s="158">
        <v>1</v>
      </c>
      <c r="F268" s="158"/>
      <c r="G268" s="100">
        <v>1</v>
      </c>
      <c r="H268" s="161">
        <v>1</v>
      </c>
      <c r="I268" s="161">
        <v>1</v>
      </c>
      <c r="J268" s="101">
        <v>1</v>
      </c>
      <c r="K268" s="101">
        <v>1</v>
      </c>
      <c r="L268" s="99">
        <f>(IF(A268=1,1,IF(A268=2,M268/2,IF(A268=3,M268,0))))-D269+D268</f>
        <v>0</v>
      </c>
      <c r="M268" s="99">
        <f>B269*E269*G269*H269*J269*K269</f>
        <v>0</v>
      </c>
      <c r="N268" s="150">
        <v>0</v>
      </c>
      <c r="O268" s="99">
        <f>IF(A268&lt;3,L268-N268,0)</f>
        <v>0</v>
      </c>
      <c r="P268" s="129">
        <f>IF(A268&lt;3,O268/2+M268,0)</f>
        <v>0</v>
      </c>
    </row>
    <row r="269" spans="1:16" ht="16.5" customHeight="1">
      <c r="A269" s="128">
        <f>IF(A268=1,1,IF(A268=2,1.5,IF(A268=3,3,0)))</f>
        <v>0</v>
      </c>
      <c r="B269" s="158">
        <f>D268*A269</f>
        <v>0</v>
      </c>
      <c r="C269" s="158"/>
      <c r="D269" s="100">
        <f>(B268+3)</f>
        <v>6</v>
      </c>
      <c r="E269" s="158">
        <f>IF(E268=1,0.6,IF(E268=2,0.8,IF(E268=3,1,IF(E268=4,1.25,IF(E268=5,1.5,0)))))</f>
        <v>0.6</v>
      </c>
      <c r="F269" s="158"/>
      <c r="G269" s="100">
        <f>IF(G268=2,1.1,IF(G268=3,1.2,IF(G268=4,1.3,IF(G268=5,1.2,IF(G268=6,1.1,1)))))</f>
        <v>1</v>
      </c>
      <c r="H269" s="161">
        <f>IF(H268=1,0.5,IF(H268=2,0.75,IF(H268=3,1,IF(H268=4,1.5,IF(H268=5,2,0)))))</f>
        <v>0.5</v>
      </c>
      <c r="I269" s="161"/>
      <c r="J269" s="101">
        <f>J268*0.1+0.2</f>
        <v>0.30000000000000004</v>
      </c>
      <c r="K269" s="101">
        <f>IF(K268=1,1,IF(K268=2,1,IF(K268=3,0.75,IF(K268=4,0.75,IF(K268=5,0.75,IF(K268=6,0.5,IF(K268=7,2.5,0)))))))</f>
        <v>1</v>
      </c>
      <c r="L269" s="99"/>
      <c r="M269" s="99"/>
      <c r="N269" s="101"/>
      <c r="O269" s="99"/>
      <c r="P269" s="129"/>
    </row>
    <row r="270" spans="1:16" ht="16.5" customHeight="1">
      <c r="A270" s="128">
        <v>4</v>
      </c>
      <c r="B270" s="158">
        <v>3</v>
      </c>
      <c r="C270" s="158"/>
      <c r="D270" s="100">
        <f>IF(G270=2,(B270+3)*(3/4),IF(G270=3,(B270+3)*(2/3),IF(G270=4,(B270+3)*(1/2),IF(G270=5,(B270+3)*(1/3),IF(G270=6,(B270+3)*(1/4),(B270+3))))))</f>
        <v>6</v>
      </c>
      <c r="E270" s="158">
        <v>1</v>
      </c>
      <c r="F270" s="158"/>
      <c r="G270" s="100">
        <v>1</v>
      </c>
      <c r="H270" s="161">
        <v>1</v>
      </c>
      <c r="I270" s="161">
        <v>1</v>
      </c>
      <c r="J270" s="101">
        <v>1</v>
      </c>
      <c r="K270" s="101">
        <v>1</v>
      </c>
      <c r="L270" s="99">
        <f>(IF(A270=1,1,IF(A270=2,M270/2,IF(A270=3,M270,0))))-D271+D270</f>
        <v>0</v>
      </c>
      <c r="M270" s="99">
        <f>B271*E271*G271*H271*J271*K271</f>
        <v>0</v>
      </c>
      <c r="N270" s="150">
        <v>0</v>
      </c>
      <c r="O270" s="99">
        <f>IF(A270&lt;3,L270-N270,0)</f>
        <v>0</v>
      </c>
      <c r="P270" s="129">
        <f>IF(A270&lt;3,O270/2+M270,0)</f>
        <v>0</v>
      </c>
    </row>
    <row r="271" spans="1:16" ht="16.5" customHeight="1">
      <c r="A271" s="128">
        <f>IF(A270=1,1,IF(A270=2,1.5,IF(A270=3,3,0)))</f>
        <v>0</v>
      </c>
      <c r="B271" s="158">
        <f>D270*A271</f>
        <v>0</v>
      </c>
      <c r="C271" s="158"/>
      <c r="D271" s="100">
        <f>(B270+3)</f>
        <v>6</v>
      </c>
      <c r="E271" s="158">
        <f>IF(E270=1,0.6,IF(E270=2,0.8,IF(E270=3,1,IF(E270=4,1.25,IF(E270=5,1.5,0)))))</f>
        <v>0.6</v>
      </c>
      <c r="F271" s="158"/>
      <c r="G271" s="100">
        <f>IF(G270=2,1.1,IF(G270=3,1.2,IF(G270=4,1.3,IF(G270=5,1.2,IF(G270=6,1.1,1)))))</f>
        <v>1</v>
      </c>
      <c r="H271" s="161">
        <f>IF(H270=1,0.5,IF(H270=2,0.75,IF(H270=3,1,IF(H270=4,1.5,IF(H270=5,2,0)))))</f>
        <v>0.5</v>
      </c>
      <c r="I271" s="161"/>
      <c r="J271" s="101">
        <f>J270*0.1+0.2</f>
        <v>0.30000000000000004</v>
      </c>
      <c r="K271" s="101">
        <f>IF(K270=1,1,IF(K270=2,1,IF(K270=3,0.75,IF(K270=4,0.75,IF(K270=5,0.75,IF(K270=6,0.5,IF(K270=7,2.5,0)))))))</f>
        <v>1</v>
      </c>
      <c r="L271" s="99"/>
      <c r="M271" s="99"/>
      <c r="N271" s="101"/>
      <c r="O271" s="99"/>
      <c r="P271" s="129"/>
    </row>
    <row r="272" spans="1:16" ht="16.5" customHeight="1">
      <c r="A272" s="128">
        <v>4</v>
      </c>
      <c r="B272" s="158">
        <v>3</v>
      </c>
      <c r="C272" s="158"/>
      <c r="D272" s="100">
        <f>IF(G272=2,(B272+3)*(3/4),IF(G272=3,(B272+3)*(2/3),IF(G272=4,(B272+3)*(1/2),IF(G272=5,(B272+3)*(1/3),IF(G272=6,(B272+3)*(1/4),(B272+3))))))</f>
        <v>6</v>
      </c>
      <c r="E272" s="158">
        <v>1</v>
      </c>
      <c r="F272" s="158"/>
      <c r="G272" s="100">
        <v>1</v>
      </c>
      <c r="H272" s="161">
        <v>1</v>
      </c>
      <c r="I272" s="161">
        <v>1</v>
      </c>
      <c r="J272" s="101">
        <v>1</v>
      </c>
      <c r="K272" s="101">
        <v>1</v>
      </c>
      <c r="L272" s="99">
        <f>(IF(A272=1,1,IF(A272=2,M272/2,IF(A272=3,M272,0))))-D273+D272</f>
        <v>0</v>
      </c>
      <c r="M272" s="99">
        <f>B273*E273*G273*H273*J273*K273</f>
        <v>0</v>
      </c>
      <c r="N272" s="150">
        <v>0</v>
      </c>
      <c r="O272" s="99">
        <f>IF(A272&lt;3,L272-N272,0)</f>
        <v>0</v>
      </c>
      <c r="P272" s="129">
        <f>IF(A272&lt;3,O272/2+M272,0)</f>
        <v>0</v>
      </c>
    </row>
    <row r="273" spans="1:16" ht="16.5" customHeight="1" thickBot="1">
      <c r="A273" s="130">
        <f>IF(A272=1,1,IF(A272=2,1.5,IF(A272=3,3,0)))</f>
        <v>0</v>
      </c>
      <c r="B273" s="157">
        <f>D272*A273</f>
        <v>0</v>
      </c>
      <c r="C273" s="157"/>
      <c r="D273" s="131">
        <f>(B272+3)</f>
        <v>6</v>
      </c>
      <c r="E273" s="157">
        <f>IF(E272=1,0.6,IF(E272=2,0.8,IF(E272=3,1,IF(E272=4,1.25,IF(E272=5,1.5,0)))))</f>
        <v>0.6</v>
      </c>
      <c r="F273" s="157"/>
      <c r="G273" s="131">
        <f>IF(G272=2,1.1,IF(G272=3,1.2,IF(G272=4,1.3,IF(G272=5,1.2,IF(G272=6,1.1,1)))))</f>
        <v>1</v>
      </c>
      <c r="H273" s="160">
        <f>IF(H272=1,0.5,IF(H272=2,0.75,IF(H272=3,1,IF(H272=4,1.5,IF(H272=5,2,0)))))</f>
        <v>0.5</v>
      </c>
      <c r="I273" s="160"/>
      <c r="J273" s="132">
        <f>J272*0.1+0.2</f>
        <v>0.30000000000000004</v>
      </c>
      <c r="K273" s="132">
        <f>IF(K272=1,1,IF(K272=2,1,IF(K272=3,0.75,IF(K272=4,0.75,IF(K272=5,0.75,IF(K272=6,0.5,IF(K272=7,2.5,0)))))))</f>
        <v>1</v>
      </c>
      <c r="L273" s="133"/>
      <c r="M273" s="133"/>
      <c r="N273" s="132"/>
      <c r="O273" s="133"/>
      <c r="P273" s="134"/>
    </row>
    <row r="274" spans="1:16" ht="16.5" customHeight="1">
      <c r="A274" s="103"/>
      <c r="B274" s="106"/>
      <c r="C274" s="106"/>
      <c r="D274" s="104"/>
      <c r="E274" s="106"/>
      <c r="F274" s="106"/>
      <c r="G274" s="104"/>
      <c r="H274" s="106"/>
      <c r="I274" s="106"/>
      <c r="J274" s="103"/>
      <c r="K274" s="103"/>
      <c r="L274" s="65"/>
      <c r="M274" s="65"/>
      <c r="N274" s="103"/>
      <c r="O274" s="65"/>
      <c r="P274" s="65"/>
    </row>
    <row r="275" spans="1:16" ht="16.5" customHeight="1">
      <c r="A275" s="103"/>
      <c r="B275" s="106"/>
      <c r="C275" s="106"/>
      <c r="D275" s="104"/>
      <c r="E275" s="106"/>
      <c r="F275" s="106"/>
      <c r="G275" s="104"/>
      <c r="H275" s="106"/>
      <c r="I275" s="106"/>
      <c r="J275" s="103"/>
      <c r="K275" s="103"/>
      <c r="L275" s="65"/>
      <c r="M275" s="65"/>
      <c r="N275" s="101"/>
      <c r="O275" s="65"/>
      <c r="P275" s="65"/>
    </row>
    <row r="276" spans="1:16" ht="16.5" customHeight="1">
      <c r="A276" s="103"/>
      <c r="B276" s="106"/>
      <c r="C276" s="106"/>
      <c r="D276" s="104"/>
      <c r="E276" s="106"/>
      <c r="F276" s="106"/>
      <c r="G276" s="104"/>
      <c r="H276" s="106"/>
      <c r="I276" s="106"/>
      <c r="J276" s="103"/>
      <c r="K276" s="103"/>
      <c r="L276" s="65"/>
      <c r="M276" s="65"/>
      <c r="N276" s="103"/>
      <c r="O276" s="65"/>
      <c r="P276" s="65"/>
    </row>
    <row r="277" spans="1:16" ht="16.5" customHeight="1">
      <c r="A277" s="103"/>
      <c r="B277" s="106"/>
      <c r="C277" s="106"/>
      <c r="D277" s="104"/>
      <c r="E277" s="106"/>
      <c r="F277" s="106"/>
      <c r="G277" s="104"/>
      <c r="H277" s="106"/>
      <c r="I277" s="106"/>
      <c r="J277" s="103"/>
      <c r="K277" s="103"/>
      <c r="L277" s="65"/>
      <c r="M277" s="65"/>
      <c r="N277" s="101"/>
      <c r="O277" s="65"/>
      <c r="P277" s="65"/>
    </row>
    <row r="278" spans="1:16" ht="16.5" customHeight="1">
      <c r="A278" s="103"/>
      <c r="B278" s="106"/>
      <c r="C278" s="106"/>
      <c r="D278" s="104"/>
      <c r="E278" s="106"/>
      <c r="F278" s="106"/>
      <c r="G278" s="104"/>
      <c r="H278" s="106"/>
      <c r="I278" s="106"/>
      <c r="J278" s="103"/>
      <c r="K278" s="103"/>
      <c r="L278" s="65"/>
      <c r="M278" s="65"/>
      <c r="N278" s="103"/>
      <c r="O278" s="65"/>
      <c r="P278" s="65"/>
    </row>
    <row r="279" spans="1:16" ht="16.5" customHeight="1">
      <c r="A279" s="103"/>
      <c r="B279" s="106"/>
      <c r="C279" s="106"/>
      <c r="D279" s="104"/>
      <c r="E279" s="106"/>
      <c r="F279" s="106"/>
      <c r="G279" s="104"/>
      <c r="H279" s="106"/>
      <c r="I279" s="106"/>
      <c r="J279" s="103"/>
      <c r="K279" s="103"/>
      <c r="L279" s="65"/>
      <c r="M279" s="65"/>
      <c r="N279" s="101"/>
      <c r="O279" s="65"/>
      <c r="P279" s="65"/>
    </row>
    <row r="280" spans="1:16" ht="16.5" customHeight="1">
      <c r="A280" s="103"/>
      <c r="B280" s="106"/>
      <c r="C280" s="106"/>
      <c r="D280" s="104"/>
      <c r="E280" s="106"/>
      <c r="F280" s="106"/>
      <c r="G280" s="104"/>
      <c r="H280" s="106"/>
      <c r="I280" s="106"/>
      <c r="J280" s="103"/>
      <c r="K280" s="103"/>
      <c r="L280" s="65"/>
      <c r="M280" s="65"/>
      <c r="N280" s="103"/>
      <c r="O280" s="65"/>
      <c r="P280" s="65"/>
    </row>
    <row r="281" spans="1:16" ht="16.5" customHeight="1">
      <c r="A281" s="103"/>
      <c r="B281" s="106"/>
      <c r="C281" s="106"/>
      <c r="D281" s="104"/>
      <c r="E281" s="106"/>
      <c r="F281" s="106"/>
      <c r="G281" s="104"/>
      <c r="H281" s="106"/>
      <c r="I281" s="106"/>
      <c r="J281" s="103"/>
      <c r="K281" s="103"/>
      <c r="L281" s="65"/>
      <c r="M281" s="65"/>
      <c r="N281" s="101"/>
      <c r="O281" s="65"/>
      <c r="P281" s="65"/>
    </row>
    <row r="284" ht="16.5" customHeight="1" hidden="1"/>
    <row r="285" ht="16.5" customHeight="1" hidden="1"/>
    <row r="286" ht="16.5" customHeight="1" hidden="1"/>
    <row r="287" ht="16.5" customHeight="1" hidden="1"/>
    <row r="288" ht="16.5" customHeight="1" hidden="1"/>
    <row r="289" ht="16.5" customHeight="1" hidden="1"/>
    <row r="290" ht="16.5" customHeight="1" hidden="1"/>
    <row r="291" ht="16.5" customHeight="1" hidden="1"/>
    <row r="292" ht="16.5" customHeight="1" hidden="1"/>
    <row r="293" ht="16.5" customHeight="1" hidden="1"/>
    <row r="294" ht="16.5" customHeight="1" hidden="1"/>
  </sheetData>
  <sheetProtection selectLockedCells="1" selectUnlockedCells="1"/>
  <mergeCells count="47">
    <mergeCell ref="A206:B206"/>
    <mergeCell ref="A207:B207"/>
    <mergeCell ref="A208:B208"/>
    <mergeCell ref="A200:B200"/>
    <mergeCell ref="A201:B201"/>
    <mergeCell ref="A202:B202"/>
    <mergeCell ref="A203:B203"/>
    <mergeCell ref="A204:B204"/>
    <mergeCell ref="A205:B205"/>
    <mergeCell ref="C133:K133"/>
    <mergeCell ref="A4:G4"/>
    <mergeCell ref="E12:K12"/>
    <mergeCell ref="E34:K34"/>
    <mergeCell ref="P55:S55"/>
    <mergeCell ref="E76:K76"/>
    <mergeCell ref="E95:K95"/>
    <mergeCell ref="L34:M34"/>
    <mergeCell ref="L76:M76"/>
    <mergeCell ref="C188:D188"/>
    <mergeCell ref="B266:C266"/>
    <mergeCell ref="B267:C267"/>
    <mergeCell ref="E266:F266"/>
    <mergeCell ref="E267:F267"/>
    <mergeCell ref="H271:I271"/>
    <mergeCell ref="H270:I270"/>
    <mergeCell ref="B268:C268"/>
    <mergeCell ref="E268:F268"/>
    <mergeCell ref="B269:C269"/>
    <mergeCell ref="A1:S3"/>
    <mergeCell ref="H273:I273"/>
    <mergeCell ref="H269:I269"/>
    <mergeCell ref="A264:B264"/>
    <mergeCell ref="H266:I266"/>
    <mergeCell ref="H267:I267"/>
    <mergeCell ref="H268:I268"/>
    <mergeCell ref="H272:I272"/>
    <mergeCell ref="B265:C265"/>
    <mergeCell ref="E265:F265"/>
    <mergeCell ref="B273:C273"/>
    <mergeCell ref="E273:F273"/>
    <mergeCell ref="E269:F269"/>
    <mergeCell ref="B270:C270"/>
    <mergeCell ref="E270:F270"/>
    <mergeCell ref="E271:F271"/>
    <mergeCell ref="B272:C272"/>
    <mergeCell ref="E272:F272"/>
    <mergeCell ref="B271:C271"/>
  </mergeCells>
  <printOptions/>
  <pageMargins left="0.75" right="0.75" top="1" bottom="1" header="0.5118055555555555" footer="0.511805555555555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04"/>
  <sheetViews>
    <sheetView zoomScalePageLayoutView="0" workbookViewId="0" topLeftCell="A340">
      <selection activeCell="A369" sqref="A369"/>
    </sheetView>
  </sheetViews>
  <sheetFormatPr defaultColWidth="9.140625" defaultRowHeight="15" customHeight="1"/>
  <cols>
    <col min="1" max="1" width="15.00390625" style="0" customWidth="1"/>
    <col min="2" max="2" width="14.8515625" style="0" customWidth="1"/>
    <col min="5" max="5" width="14.57421875" style="0" customWidth="1"/>
    <col min="9" max="9" width="14.421875" style="0" customWidth="1"/>
    <col min="11" max="11" width="11.00390625" style="0" customWidth="1"/>
  </cols>
  <sheetData>
    <row r="1" ht="15" customHeight="1">
      <c r="A1" s="66" t="s">
        <v>191</v>
      </c>
    </row>
    <row r="2" spans="1:12" ht="15" customHeight="1">
      <c r="A2" t="s">
        <v>135</v>
      </c>
      <c r="B2" s="67" t="s">
        <v>37</v>
      </c>
      <c r="C2" s="67" t="s">
        <v>34</v>
      </c>
      <c r="D2" s="67" t="s">
        <v>192</v>
      </c>
      <c r="E2" s="67" t="s">
        <v>193</v>
      </c>
      <c r="F2" s="67" t="s">
        <v>194</v>
      </c>
      <c r="G2" s="67" t="s">
        <v>195</v>
      </c>
      <c r="H2" s="67" t="s">
        <v>196</v>
      </c>
      <c r="I2" s="67" t="s">
        <v>197</v>
      </c>
      <c r="J2" s="67" t="s">
        <v>198</v>
      </c>
      <c r="K2" s="67" t="s">
        <v>199</v>
      </c>
      <c r="L2" s="67" t="s">
        <v>612</v>
      </c>
    </row>
    <row r="3" spans="1:12" ht="15" customHeight="1">
      <c r="A3" t="s">
        <v>200</v>
      </c>
      <c r="B3" s="67">
        <v>0</v>
      </c>
      <c r="C3" s="67">
        <v>0</v>
      </c>
      <c r="D3" s="67">
        <v>0</v>
      </c>
      <c r="E3" s="67">
        <v>0</v>
      </c>
      <c r="F3" s="67">
        <v>0</v>
      </c>
      <c r="G3" s="67">
        <v>0</v>
      </c>
      <c r="H3" s="67">
        <v>0</v>
      </c>
      <c r="I3" s="67">
        <v>0</v>
      </c>
      <c r="J3" s="67">
        <v>0</v>
      </c>
      <c r="K3" s="67">
        <v>0</v>
      </c>
      <c r="L3" s="67">
        <v>0</v>
      </c>
    </row>
    <row r="4" spans="1:12" ht="15" customHeight="1">
      <c r="A4" t="s">
        <v>201</v>
      </c>
      <c r="B4" s="67">
        <v>2</v>
      </c>
      <c r="C4" s="67">
        <v>1</v>
      </c>
      <c r="D4" s="67">
        <v>2</v>
      </c>
      <c r="E4" s="67">
        <v>0</v>
      </c>
      <c r="F4" s="67">
        <v>1</v>
      </c>
      <c r="G4" s="67">
        <v>2</v>
      </c>
      <c r="H4" s="67">
        <v>0</v>
      </c>
      <c r="I4" s="67">
        <v>1</v>
      </c>
      <c r="J4" s="67">
        <v>1</v>
      </c>
      <c r="K4" s="67">
        <v>2</v>
      </c>
      <c r="L4" s="67">
        <v>5</v>
      </c>
    </row>
    <row r="5" spans="1:12" ht="15" customHeight="1">
      <c r="A5" t="s">
        <v>202</v>
      </c>
      <c r="B5" s="67">
        <v>4</v>
      </c>
      <c r="C5" s="67">
        <v>2</v>
      </c>
      <c r="D5" s="67">
        <v>3</v>
      </c>
      <c r="E5" s="67">
        <v>0</v>
      </c>
      <c r="F5" s="67">
        <v>2</v>
      </c>
      <c r="G5" s="67">
        <v>3</v>
      </c>
      <c r="H5" s="67">
        <v>0</v>
      </c>
      <c r="I5" s="67">
        <v>2</v>
      </c>
      <c r="J5" s="67">
        <v>2</v>
      </c>
      <c r="K5" s="67">
        <v>4</v>
      </c>
      <c r="L5" s="67">
        <v>6</v>
      </c>
    </row>
    <row r="6" spans="1:12" ht="15" customHeight="1">
      <c r="A6" t="s">
        <v>203</v>
      </c>
      <c r="B6" s="67">
        <v>6</v>
      </c>
      <c r="C6" s="67">
        <v>3</v>
      </c>
      <c r="D6" s="67">
        <v>4</v>
      </c>
      <c r="E6" s="67">
        <v>0</v>
      </c>
      <c r="F6" s="67">
        <v>2</v>
      </c>
      <c r="G6" s="67">
        <v>4</v>
      </c>
      <c r="H6" s="67">
        <v>1</v>
      </c>
      <c r="I6" s="67">
        <v>3</v>
      </c>
      <c r="J6" s="67">
        <v>3</v>
      </c>
      <c r="K6" s="67">
        <v>6</v>
      </c>
      <c r="L6" s="67">
        <v>7</v>
      </c>
    </row>
    <row r="7" spans="1:12" ht="15" customHeight="1">
      <c r="A7" t="s">
        <v>204</v>
      </c>
      <c r="B7" s="67">
        <v>8</v>
      </c>
      <c r="C7" s="67">
        <v>4</v>
      </c>
      <c r="D7" s="67">
        <v>5</v>
      </c>
      <c r="E7" s="67">
        <v>1</v>
      </c>
      <c r="F7" s="67">
        <v>3</v>
      </c>
      <c r="G7" s="67">
        <v>5</v>
      </c>
      <c r="H7" s="67">
        <v>1</v>
      </c>
      <c r="I7" s="67">
        <v>4</v>
      </c>
      <c r="J7" s="67">
        <v>4</v>
      </c>
      <c r="K7" s="67">
        <v>8</v>
      </c>
      <c r="L7" s="67">
        <v>8</v>
      </c>
    </row>
    <row r="8" spans="1:12" ht="15" customHeight="1">
      <c r="A8" t="s">
        <v>205</v>
      </c>
      <c r="B8" s="67">
        <v>10</v>
      </c>
      <c r="C8" s="67">
        <v>5</v>
      </c>
      <c r="D8" s="67">
        <v>6</v>
      </c>
      <c r="E8" s="67">
        <v>1</v>
      </c>
      <c r="F8" s="67">
        <v>3</v>
      </c>
      <c r="G8" s="67">
        <v>6</v>
      </c>
      <c r="H8" s="67">
        <v>2</v>
      </c>
      <c r="I8" s="67">
        <v>5</v>
      </c>
      <c r="J8" s="67">
        <v>5</v>
      </c>
      <c r="K8" s="67">
        <v>10</v>
      </c>
      <c r="L8" s="67">
        <v>9</v>
      </c>
    </row>
    <row r="9" spans="1:12" ht="15" customHeight="1">
      <c r="A9" t="s">
        <v>206</v>
      </c>
      <c r="B9" s="67">
        <v>12</v>
      </c>
      <c r="C9" s="67">
        <v>6</v>
      </c>
      <c r="D9" s="67">
        <v>7</v>
      </c>
      <c r="E9" s="67">
        <v>1</v>
      </c>
      <c r="F9" s="67">
        <v>4</v>
      </c>
      <c r="G9" s="67">
        <v>7</v>
      </c>
      <c r="H9" s="67">
        <v>2</v>
      </c>
      <c r="I9" s="67">
        <v>6</v>
      </c>
      <c r="J9" s="67">
        <v>6</v>
      </c>
      <c r="K9" s="67">
        <v>12</v>
      </c>
      <c r="L9" s="67">
        <v>10</v>
      </c>
    </row>
    <row r="10" spans="1:12" ht="15" customHeight="1">
      <c r="A10" t="s">
        <v>207</v>
      </c>
      <c r="B10" s="67">
        <v>14</v>
      </c>
      <c r="C10" s="67">
        <v>7</v>
      </c>
      <c r="D10" s="67">
        <v>8</v>
      </c>
      <c r="E10" s="67">
        <v>2</v>
      </c>
      <c r="F10" s="67">
        <v>4</v>
      </c>
      <c r="G10" s="67">
        <v>8</v>
      </c>
      <c r="H10" s="67">
        <v>3</v>
      </c>
      <c r="I10" s="67">
        <v>7</v>
      </c>
      <c r="J10" s="67">
        <v>7</v>
      </c>
      <c r="K10" s="67">
        <v>14</v>
      </c>
      <c r="L10" s="67">
        <v>11</v>
      </c>
    </row>
    <row r="11" spans="1:19" ht="15" customHeight="1">
      <c r="A11" t="s">
        <v>208</v>
      </c>
      <c r="B11" s="67">
        <v>16</v>
      </c>
      <c r="C11" s="67">
        <v>8</v>
      </c>
      <c r="D11" s="67">
        <v>9</v>
      </c>
      <c r="E11" s="67">
        <v>2</v>
      </c>
      <c r="F11" s="67">
        <v>5</v>
      </c>
      <c r="G11" s="67">
        <v>9</v>
      </c>
      <c r="H11" s="67">
        <v>3</v>
      </c>
      <c r="I11" s="67">
        <v>8</v>
      </c>
      <c r="J11" s="67">
        <v>8</v>
      </c>
      <c r="K11" s="67">
        <v>16</v>
      </c>
      <c r="L11" s="67">
        <v>12</v>
      </c>
      <c r="S11">
        <f>1+F266</f>
        <v>70</v>
      </c>
    </row>
    <row r="12" spans="1:12" ht="15" customHeight="1">
      <c r="A12" t="s">
        <v>209</v>
      </c>
      <c r="B12" s="67">
        <v>18</v>
      </c>
      <c r="C12" s="67">
        <v>9</v>
      </c>
      <c r="D12" s="67">
        <v>10</v>
      </c>
      <c r="E12" s="67">
        <v>2</v>
      </c>
      <c r="F12" s="67">
        <v>5</v>
      </c>
      <c r="G12" s="67">
        <v>10</v>
      </c>
      <c r="H12" s="67">
        <v>4</v>
      </c>
      <c r="I12" s="67">
        <v>9</v>
      </c>
      <c r="J12" s="67">
        <v>9</v>
      </c>
      <c r="K12" s="67">
        <v>18</v>
      </c>
      <c r="L12" s="67">
        <v>13</v>
      </c>
    </row>
    <row r="13" spans="1:12" ht="15" customHeight="1">
      <c r="A13" t="s">
        <v>210</v>
      </c>
      <c r="B13" s="67">
        <v>20</v>
      </c>
      <c r="C13" s="67">
        <v>10</v>
      </c>
      <c r="D13" s="67">
        <v>11</v>
      </c>
      <c r="E13" s="67">
        <v>3</v>
      </c>
      <c r="F13" s="67">
        <v>6</v>
      </c>
      <c r="G13" s="67">
        <v>11</v>
      </c>
      <c r="H13" s="67">
        <v>4</v>
      </c>
      <c r="I13" s="67">
        <v>10</v>
      </c>
      <c r="J13" s="67">
        <v>10</v>
      </c>
      <c r="K13" s="67">
        <v>20</v>
      </c>
      <c r="L13" s="67">
        <v>14</v>
      </c>
    </row>
    <row r="14" spans="1:12" ht="15" customHeight="1">
      <c r="A14" t="s">
        <v>211</v>
      </c>
      <c r="B14" s="67">
        <v>22</v>
      </c>
      <c r="C14" s="67">
        <v>11</v>
      </c>
      <c r="D14" s="67">
        <v>12</v>
      </c>
      <c r="E14" s="67">
        <v>3</v>
      </c>
      <c r="F14" s="67">
        <v>6</v>
      </c>
      <c r="G14" s="67">
        <v>12</v>
      </c>
      <c r="H14" s="67">
        <v>5</v>
      </c>
      <c r="I14" s="67">
        <v>11</v>
      </c>
      <c r="J14" s="67">
        <v>11</v>
      </c>
      <c r="K14" s="67">
        <v>22</v>
      </c>
      <c r="L14" s="67">
        <v>15</v>
      </c>
    </row>
    <row r="16" spans="1:19" ht="15" customHeight="1">
      <c r="A16" s="66" t="s">
        <v>212</v>
      </c>
      <c r="B16" s="67" t="s">
        <v>32</v>
      </c>
      <c r="C16" s="67" t="s">
        <v>24</v>
      </c>
      <c r="F16" t="s">
        <v>213</v>
      </c>
      <c r="G16" t="s">
        <v>216</v>
      </c>
      <c r="S16">
        <f>S14+S12</f>
        <v>0</v>
      </c>
    </row>
    <row r="17" spans="1:7" ht="15" customHeight="1">
      <c r="A17" s="65" t="s">
        <v>214</v>
      </c>
      <c r="B17" s="67">
        <v>0</v>
      </c>
      <c r="C17" s="67">
        <v>0.5</v>
      </c>
      <c r="F17" t="s">
        <v>215</v>
      </c>
      <c r="G17" t="s">
        <v>317</v>
      </c>
    </row>
    <row r="18" spans="1:7" ht="15" customHeight="1">
      <c r="A18" s="65" t="s">
        <v>216</v>
      </c>
      <c r="B18" s="67">
        <v>1</v>
      </c>
      <c r="C18" s="67">
        <v>1</v>
      </c>
      <c r="G18" t="s">
        <v>613</v>
      </c>
    </row>
    <row r="19" spans="1:7" ht="15" customHeight="1">
      <c r="A19" s="65" t="s">
        <v>217</v>
      </c>
      <c r="B19" s="67">
        <v>2</v>
      </c>
      <c r="C19" s="67">
        <v>1.25</v>
      </c>
      <c r="G19" t="s">
        <v>200</v>
      </c>
    </row>
    <row r="20" spans="1:3" ht="15" customHeight="1">
      <c r="A20" s="65" t="s">
        <v>218</v>
      </c>
      <c r="B20" s="67">
        <v>4</v>
      </c>
      <c r="C20" s="67">
        <v>1.5</v>
      </c>
    </row>
    <row r="21" spans="1:3" ht="15" customHeight="1">
      <c r="A21" s="65" t="s">
        <v>219</v>
      </c>
      <c r="B21" s="67">
        <v>8</v>
      </c>
      <c r="C21" s="67">
        <v>2</v>
      </c>
    </row>
    <row r="22" spans="6:11" ht="15" customHeight="1">
      <c r="F22" s="92">
        <v>-4</v>
      </c>
      <c r="H22" t="s">
        <v>642</v>
      </c>
      <c r="I22">
        <v>1</v>
      </c>
      <c r="J22">
        <v>1</v>
      </c>
      <c r="K22">
        <v>1</v>
      </c>
    </row>
    <row r="23" spans="1:11" ht="15" customHeight="1">
      <c r="A23" s="66" t="s">
        <v>220</v>
      </c>
      <c r="F23" s="92">
        <v>-3</v>
      </c>
      <c r="G23">
        <f>-1/4</f>
        <v>-0.25</v>
      </c>
      <c r="H23">
        <v>3</v>
      </c>
      <c r="I23">
        <v>2</v>
      </c>
      <c r="J23">
        <v>2</v>
      </c>
      <c r="K23">
        <v>2</v>
      </c>
    </row>
    <row r="24" spans="1:11" ht="15" customHeight="1">
      <c r="A24" s="65" t="s">
        <v>221</v>
      </c>
      <c r="B24" t="s">
        <v>24</v>
      </c>
      <c r="C24" t="s">
        <v>222</v>
      </c>
      <c r="F24" s="92">
        <v>-2</v>
      </c>
      <c r="G24">
        <f>-1/3</f>
        <v>-0.3333333333333333</v>
      </c>
      <c r="H24">
        <v>2</v>
      </c>
      <c r="I24">
        <v>3</v>
      </c>
      <c r="J24">
        <v>3</v>
      </c>
      <c r="K24">
        <v>3</v>
      </c>
    </row>
    <row r="25" spans="1:11" ht="15" customHeight="1">
      <c r="A25" s="67">
        <v>0</v>
      </c>
      <c r="B25" s="67">
        <v>1</v>
      </c>
      <c r="C25" s="67">
        <v>1</v>
      </c>
      <c r="F25" s="67">
        <v>-1</v>
      </c>
      <c r="G25">
        <f>-1/2</f>
        <v>-0.5</v>
      </c>
      <c r="H25">
        <v>1</v>
      </c>
      <c r="I25">
        <v>4</v>
      </c>
      <c r="J25">
        <v>4</v>
      </c>
      <c r="K25">
        <v>4</v>
      </c>
    </row>
    <row r="26" spans="1:11" ht="15" customHeight="1">
      <c r="A26" s="67">
        <v>0.2</v>
      </c>
      <c r="B26" s="67">
        <v>1.5</v>
      </c>
      <c r="C26" s="67">
        <v>1</v>
      </c>
      <c r="F26" s="67">
        <v>0</v>
      </c>
      <c r="G26">
        <f>-2/3</f>
        <v>-0.6666666666666666</v>
      </c>
      <c r="H26">
        <v>0</v>
      </c>
      <c r="I26">
        <v>5</v>
      </c>
      <c r="J26">
        <v>5</v>
      </c>
      <c r="K26">
        <v>5</v>
      </c>
    </row>
    <row r="27" spans="1:9" ht="15" customHeight="1">
      <c r="A27" s="67">
        <v>0.25</v>
      </c>
      <c r="B27" s="67">
        <v>1.8</v>
      </c>
      <c r="C27" s="67">
        <v>0.8</v>
      </c>
      <c r="G27">
        <f>-3/4</f>
        <v>-0.75</v>
      </c>
      <c r="I27">
        <v>7</v>
      </c>
    </row>
    <row r="28" spans="1:9" ht="15" customHeight="1">
      <c r="A28" s="67">
        <v>0.33</v>
      </c>
      <c r="B28" s="67">
        <v>2.2</v>
      </c>
      <c r="C28" s="67">
        <v>0.75</v>
      </c>
      <c r="G28">
        <v>0</v>
      </c>
      <c r="I28">
        <v>10</v>
      </c>
    </row>
    <row r="29" spans="1:9" ht="15" customHeight="1">
      <c r="A29" s="67">
        <v>0.5</v>
      </c>
      <c r="B29" s="67">
        <v>2.5</v>
      </c>
      <c r="C29" s="67">
        <v>0.66</v>
      </c>
      <c r="I29" t="s">
        <v>643</v>
      </c>
    </row>
    <row r="31" ht="15" customHeight="1">
      <c r="A31" s="66" t="s">
        <v>223</v>
      </c>
    </row>
    <row r="32" spans="1:9" ht="15" customHeight="1">
      <c r="A32" s="65" t="s">
        <v>135</v>
      </c>
      <c r="B32" t="s">
        <v>24</v>
      </c>
      <c r="C32" t="s">
        <v>26</v>
      </c>
      <c r="D32" t="s">
        <v>25</v>
      </c>
      <c r="E32" t="s">
        <v>224</v>
      </c>
      <c r="F32" t="s">
        <v>225</v>
      </c>
      <c r="I32" t="s">
        <v>200</v>
      </c>
    </row>
    <row r="33" spans="1:9" ht="15" customHeight="1">
      <c r="A33" s="65" t="s">
        <v>200</v>
      </c>
      <c r="B33">
        <v>0</v>
      </c>
      <c r="C33">
        <v>0</v>
      </c>
      <c r="D33">
        <v>0</v>
      </c>
      <c r="E33">
        <v>0</v>
      </c>
      <c r="F33">
        <v>0</v>
      </c>
      <c r="I33" t="s">
        <v>214</v>
      </c>
    </row>
    <row r="34" spans="1:9" ht="15" customHeight="1">
      <c r="A34" t="s">
        <v>201</v>
      </c>
      <c r="B34">
        <v>0</v>
      </c>
      <c r="C34">
        <v>0</v>
      </c>
      <c r="D34">
        <v>1</v>
      </c>
      <c r="E34">
        <v>1</v>
      </c>
      <c r="F34">
        <v>300</v>
      </c>
      <c r="I34" t="s">
        <v>645</v>
      </c>
    </row>
    <row r="35" spans="1:9" ht="15" customHeight="1">
      <c r="A35" t="s">
        <v>202</v>
      </c>
      <c r="B35">
        <v>1</v>
      </c>
      <c r="C35">
        <v>1</v>
      </c>
      <c r="D35">
        <v>1</v>
      </c>
      <c r="E35">
        <v>2</v>
      </c>
      <c r="F35">
        <v>500</v>
      </c>
      <c r="I35" t="s">
        <v>646</v>
      </c>
    </row>
    <row r="36" spans="1:9" ht="15" customHeight="1">
      <c r="A36" t="s">
        <v>203</v>
      </c>
      <c r="B36">
        <v>2</v>
      </c>
      <c r="C36">
        <v>1</v>
      </c>
      <c r="D36">
        <v>1</v>
      </c>
      <c r="E36">
        <v>4</v>
      </c>
      <c r="F36">
        <v>800</v>
      </c>
      <c r="I36" t="s">
        <v>647</v>
      </c>
    </row>
    <row r="37" spans="1:9" ht="15" customHeight="1">
      <c r="A37" t="s">
        <v>204</v>
      </c>
      <c r="B37">
        <v>4</v>
      </c>
      <c r="C37">
        <v>1</v>
      </c>
      <c r="D37">
        <v>1</v>
      </c>
      <c r="E37">
        <v>7</v>
      </c>
      <c r="F37">
        <v>1000</v>
      </c>
      <c r="I37" t="s">
        <v>648</v>
      </c>
    </row>
    <row r="38" spans="1:9" ht="15" customHeight="1">
      <c r="A38" t="s">
        <v>205</v>
      </c>
      <c r="B38">
        <v>6</v>
      </c>
      <c r="C38">
        <v>2</v>
      </c>
      <c r="D38">
        <v>1</v>
      </c>
      <c r="E38">
        <v>11</v>
      </c>
      <c r="F38">
        <v>1300</v>
      </c>
      <c r="I38" t="s">
        <v>649</v>
      </c>
    </row>
    <row r="39" spans="1:6" ht="15" customHeight="1">
      <c r="A39" t="s">
        <v>206</v>
      </c>
      <c r="B39">
        <v>9</v>
      </c>
      <c r="C39">
        <v>2</v>
      </c>
      <c r="D39">
        <v>1</v>
      </c>
      <c r="E39">
        <v>15</v>
      </c>
      <c r="F39">
        <v>1500</v>
      </c>
    </row>
    <row r="40" spans="1:6" ht="15" customHeight="1">
      <c r="A40" t="s">
        <v>207</v>
      </c>
      <c r="B40">
        <v>12</v>
      </c>
      <c r="C40">
        <v>2</v>
      </c>
      <c r="D40">
        <v>1</v>
      </c>
      <c r="E40">
        <v>20</v>
      </c>
      <c r="F40">
        <v>1800</v>
      </c>
    </row>
    <row r="41" spans="1:6" ht="15" customHeight="1">
      <c r="A41" t="s">
        <v>208</v>
      </c>
      <c r="B41">
        <v>16</v>
      </c>
      <c r="C41">
        <v>3</v>
      </c>
      <c r="D41">
        <v>1</v>
      </c>
      <c r="E41">
        <v>26</v>
      </c>
      <c r="F41">
        <v>2300</v>
      </c>
    </row>
    <row r="42" spans="1:6" ht="15" customHeight="1">
      <c r="A42" t="s">
        <v>209</v>
      </c>
      <c r="B42">
        <v>22</v>
      </c>
      <c r="C42">
        <v>3</v>
      </c>
      <c r="D42">
        <v>1</v>
      </c>
      <c r="E42">
        <v>30</v>
      </c>
      <c r="F42">
        <v>3000</v>
      </c>
    </row>
    <row r="43" spans="1:6" ht="15" customHeight="1">
      <c r="A43" t="s">
        <v>210</v>
      </c>
      <c r="B43">
        <v>27</v>
      </c>
      <c r="C43">
        <v>3</v>
      </c>
      <c r="D43">
        <v>1</v>
      </c>
      <c r="E43">
        <v>40</v>
      </c>
      <c r="F43">
        <v>5000</v>
      </c>
    </row>
    <row r="44" spans="1:6" ht="15" customHeight="1">
      <c r="A44" t="s">
        <v>211</v>
      </c>
      <c r="B44">
        <v>32</v>
      </c>
      <c r="C44">
        <v>4</v>
      </c>
      <c r="D44">
        <v>1</v>
      </c>
      <c r="E44">
        <v>50</v>
      </c>
      <c r="F44" t="s">
        <v>226</v>
      </c>
    </row>
    <row r="45" spans="1:6" ht="15" customHeight="1">
      <c r="A45" t="s">
        <v>200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 customHeight="1">
      <c r="A46" t="s">
        <v>227</v>
      </c>
      <c r="B46">
        <v>2</v>
      </c>
      <c r="C46">
        <v>2</v>
      </c>
      <c r="D46">
        <v>2</v>
      </c>
      <c r="E46">
        <v>1</v>
      </c>
      <c r="F46">
        <v>300</v>
      </c>
    </row>
    <row r="48" ht="15" customHeight="1">
      <c r="A48" s="66" t="s">
        <v>228</v>
      </c>
    </row>
    <row r="49" spans="1:6" ht="15" customHeight="1">
      <c r="A49" s="66"/>
      <c r="C49" t="s">
        <v>24</v>
      </c>
      <c r="D49" t="s">
        <v>25</v>
      </c>
      <c r="E49" t="s">
        <v>26</v>
      </c>
      <c r="F49" t="s">
        <v>114</v>
      </c>
    </row>
    <row r="50" spans="1:9" ht="15" customHeight="1">
      <c r="A50" s="65" t="s">
        <v>200</v>
      </c>
      <c r="C50">
        <v>0</v>
      </c>
      <c r="D50">
        <v>0</v>
      </c>
      <c r="E50">
        <v>0</v>
      </c>
      <c r="I50" s="66" t="s">
        <v>229</v>
      </c>
    </row>
    <row r="51" spans="1:14" ht="15" customHeight="1">
      <c r="A51" t="s">
        <v>230</v>
      </c>
      <c r="C51">
        <v>10</v>
      </c>
      <c r="D51">
        <v>2</v>
      </c>
      <c r="E51">
        <v>0</v>
      </c>
      <c r="I51" t="s">
        <v>231</v>
      </c>
      <c r="J51" t="s">
        <v>24</v>
      </c>
      <c r="K51" t="s">
        <v>232</v>
      </c>
      <c r="L51" t="s">
        <v>144</v>
      </c>
      <c r="M51" t="s">
        <v>233</v>
      </c>
      <c r="N51" t="s">
        <v>144</v>
      </c>
    </row>
    <row r="52" spans="1:14" ht="15" customHeight="1">
      <c r="A52" t="s">
        <v>234</v>
      </c>
      <c r="C52">
        <v>5</v>
      </c>
      <c r="D52">
        <v>1</v>
      </c>
      <c r="E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ht="15" customHeight="1">
      <c r="A53" t="s">
        <v>235</v>
      </c>
      <c r="C53">
        <v>0.5</v>
      </c>
      <c r="D53">
        <v>1</v>
      </c>
      <c r="E53">
        <v>0</v>
      </c>
      <c r="I53">
        <v>1</v>
      </c>
      <c r="J53">
        <v>1</v>
      </c>
      <c r="K53">
        <v>0</v>
      </c>
      <c r="L53">
        <v>1</v>
      </c>
      <c r="M53">
        <v>0</v>
      </c>
      <c r="N53">
        <v>1</v>
      </c>
    </row>
    <row r="54" spans="1:14" ht="15" customHeight="1">
      <c r="A54" t="s">
        <v>236</v>
      </c>
      <c r="C54">
        <v>10</v>
      </c>
      <c r="D54">
        <v>5</v>
      </c>
      <c r="E54">
        <v>4</v>
      </c>
      <c r="I54">
        <v>2</v>
      </c>
      <c r="J54">
        <v>2</v>
      </c>
      <c r="K54">
        <v>1</v>
      </c>
      <c r="L54">
        <v>1.5</v>
      </c>
      <c r="M54">
        <v>1</v>
      </c>
      <c r="N54">
        <v>1.1</v>
      </c>
    </row>
    <row r="55" spans="1:14" ht="15" customHeight="1">
      <c r="A55" t="s">
        <v>237</v>
      </c>
      <c r="C55">
        <v>5</v>
      </c>
      <c r="D55">
        <v>1</v>
      </c>
      <c r="E55">
        <v>0</v>
      </c>
      <c r="I55">
        <v>3</v>
      </c>
      <c r="J55">
        <v>4</v>
      </c>
      <c r="K55">
        <v>2</v>
      </c>
      <c r="L55">
        <v>1.75</v>
      </c>
      <c r="M55">
        <v>2</v>
      </c>
      <c r="N55">
        <v>1.2</v>
      </c>
    </row>
    <row r="56" spans="1:14" ht="15" customHeight="1">
      <c r="A56" t="s">
        <v>238</v>
      </c>
      <c r="C56">
        <v>2</v>
      </c>
      <c r="D56">
        <v>1</v>
      </c>
      <c r="E56">
        <v>0</v>
      </c>
      <c r="I56">
        <v>4</v>
      </c>
      <c r="J56">
        <v>6</v>
      </c>
      <c r="K56">
        <v>3</v>
      </c>
      <c r="L56">
        <v>2</v>
      </c>
      <c r="M56">
        <v>3</v>
      </c>
      <c r="N56">
        <v>1.3</v>
      </c>
    </row>
    <row r="57" spans="1:14" ht="15" customHeight="1">
      <c r="A57" t="s">
        <v>239</v>
      </c>
      <c r="C57">
        <v>5</v>
      </c>
      <c r="D57">
        <v>1</v>
      </c>
      <c r="E57">
        <v>0</v>
      </c>
      <c r="I57">
        <v>5</v>
      </c>
      <c r="J57">
        <v>9</v>
      </c>
      <c r="K57">
        <v>4</v>
      </c>
      <c r="L57">
        <v>2.25</v>
      </c>
      <c r="M57">
        <v>4</v>
      </c>
      <c r="N57">
        <v>1.4</v>
      </c>
    </row>
    <row r="58" spans="1:14" ht="15" customHeight="1">
      <c r="A58" t="s">
        <v>240</v>
      </c>
      <c r="C58">
        <v>0.1</v>
      </c>
      <c r="D58">
        <v>0</v>
      </c>
      <c r="E58">
        <v>0</v>
      </c>
      <c r="I58">
        <v>6</v>
      </c>
      <c r="J58">
        <v>12</v>
      </c>
      <c r="K58">
        <v>6</v>
      </c>
      <c r="L58">
        <v>2.75</v>
      </c>
      <c r="M58">
        <v>6</v>
      </c>
      <c r="N58">
        <v>1.6</v>
      </c>
    </row>
    <row r="59" spans="1:14" ht="15" customHeight="1">
      <c r="A59" t="s">
        <v>241</v>
      </c>
      <c r="C59">
        <v>0.3</v>
      </c>
      <c r="D59">
        <v>0</v>
      </c>
      <c r="E59">
        <v>0</v>
      </c>
      <c r="I59">
        <v>7</v>
      </c>
      <c r="J59">
        <v>16</v>
      </c>
      <c r="K59">
        <v>8</v>
      </c>
      <c r="L59">
        <v>3.2</v>
      </c>
      <c r="M59">
        <v>8</v>
      </c>
      <c r="N59">
        <v>2</v>
      </c>
    </row>
    <row r="60" spans="1:14" ht="15" customHeight="1">
      <c r="A60" t="s">
        <v>242</v>
      </c>
      <c r="C60">
        <v>0.2</v>
      </c>
      <c r="D60">
        <v>0</v>
      </c>
      <c r="E60">
        <v>0</v>
      </c>
      <c r="I60">
        <v>8</v>
      </c>
      <c r="J60">
        <v>20</v>
      </c>
      <c r="K60">
        <v>10</v>
      </c>
      <c r="L60">
        <v>3.5</v>
      </c>
      <c r="M60">
        <v>10</v>
      </c>
      <c r="N60">
        <v>2.3</v>
      </c>
    </row>
    <row r="61" spans="1:14" ht="15" customHeight="1">
      <c r="A61" t="s">
        <v>243</v>
      </c>
      <c r="C61">
        <v>0.2</v>
      </c>
      <c r="D61">
        <v>0</v>
      </c>
      <c r="E61">
        <v>0</v>
      </c>
      <c r="I61">
        <v>9</v>
      </c>
      <c r="J61">
        <v>25</v>
      </c>
      <c r="K61">
        <v>20</v>
      </c>
      <c r="L61">
        <v>3.9</v>
      </c>
      <c r="M61">
        <v>20</v>
      </c>
      <c r="N61">
        <v>2.6</v>
      </c>
    </row>
    <row r="62" spans="1:14" ht="15" customHeight="1">
      <c r="A62" t="s">
        <v>244</v>
      </c>
      <c r="C62">
        <v>0.2</v>
      </c>
      <c r="D62">
        <v>0</v>
      </c>
      <c r="E62">
        <v>0</v>
      </c>
      <c r="I62">
        <v>10</v>
      </c>
      <c r="J62">
        <v>30</v>
      </c>
      <c r="K62">
        <v>60</v>
      </c>
      <c r="L62">
        <v>4.5</v>
      </c>
      <c r="M62">
        <v>60</v>
      </c>
      <c r="N62">
        <v>3</v>
      </c>
    </row>
    <row r="63" spans="1:14" ht="15" customHeight="1">
      <c r="A63" t="s">
        <v>245</v>
      </c>
      <c r="C63">
        <v>0.5</v>
      </c>
      <c r="D63">
        <v>0</v>
      </c>
      <c r="E63">
        <v>0</v>
      </c>
      <c r="K63">
        <v>100</v>
      </c>
      <c r="L63">
        <v>5.25</v>
      </c>
      <c r="M63">
        <v>100</v>
      </c>
      <c r="N63">
        <v>3.5</v>
      </c>
    </row>
    <row r="64" spans="1:5" ht="15" customHeight="1">
      <c r="A64" t="s">
        <v>246</v>
      </c>
      <c r="C64">
        <v>1</v>
      </c>
      <c r="D64">
        <v>1</v>
      </c>
      <c r="E64">
        <v>0</v>
      </c>
    </row>
    <row r="65" spans="1:9" ht="15" customHeight="1">
      <c r="A65" t="s">
        <v>247</v>
      </c>
      <c r="C65">
        <v>1</v>
      </c>
      <c r="D65">
        <v>1</v>
      </c>
      <c r="E65">
        <v>0</v>
      </c>
      <c r="I65" s="66" t="s">
        <v>98</v>
      </c>
    </row>
    <row r="66" spans="1:13" ht="15" customHeight="1">
      <c r="A66" t="s">
        <v>248</v>
      </c>
      <c r="C66">
        <v>3</v>
      </c>
      <c r="D66">
        <v>1</v>
      </c>
      <c r="E66">
        <v>0</v>
      </c>
      <c r="I66" s="65" t="s">
        <v>135</v>
      </c>
      <c r="J66" t="s">
        <v>249</v>
      </c>
      <c r="K66" t="s">
        <v>24</v>
      </c>
      <c r="L66" t="s">
        <v>185</v>
      </c>
      <c r="M66" t="s">
        <v>83</v>
      </c>
    </row>
    <row r="67" spans="1:13" ht="15" customHeight="1">
      <c r="A67" t="s">
        <v>250</v>
      </c>
      <c r="C67">
        <v>3</v>
      </c>
      <c r="D67">
        <v>1</v>
      </c>
      <c r="E67">
        <v>0</v>
      </c>
      <c r="I67" t="s">
        <v>201</v>
      </c>
      <c r="J67">
        <v>0</v>
      </c>
      <c r="K67">
        <v>0</v>
      </c>
      <c r="L67" t="s">
        <v>251</v>
      </c>
      <c r="M67">
        <v>0.4</v>
      </c>
    </row>
    <row r="68" spans="1:13" ht="15" customHeight="1">
      <c r="A68" t="s">
        <v>252</v>
      </c>
      <c r="C68">
        <v>1</v>
      </c>
      <c r="D68">
        <v>1</v>
      </c>
      <c r="E68">
        <v>0</v>
      </c>
      <c r="I68" t="s">
        <v>202</v>
      </c>
      <c r="J68">
        <v>0.5</v>
      </c>
      <c r="K68">
        <v>3</v>
      </c>
      <c r="L68" t="s">
        <v>253</v>
      </c>
      <c r="M68">
        <v>0.7</v>
      </c>
    </row>
    <row r="69" spans="1:13" ht="15" customHeight="1">
      <c r="A69" t="s">
        <v>254</v>
      </c>
      <c r="C69">
        <v>1</v>
      </c>
      <c r="D69">
        <v>0</v>
      </c>
      <c r="E69">
        <v>0</v>
      </c>
      <c r="I69" t="s">
        <v>203</v>
      </c>
      <c r="J69">
        <v>1</v>
      </c>
      <c r="K69">
        <v>4</v>
      </c>
      <c r="L69" t="s">
        <v>255</v>
      </c>
      <c r="M69">
        <v>0.9</v>
      </c>
    </row>
    <row r="70" spans="1:13" ht="15" customHeight="1">
      <c r="A70" t="s">
        <v>256</v>
      </c>
      <c r="C70">
        <v>1</v>
      </c>
      <c r="D70">
        <v>0</v>
      </c>
      <c r="E70">
        <v>0</v>
      </c>
      <c r="I70" t="s">
        <v>204</v>
      </c>
      <c r="J70">
        <v>2</v>
      </c>
      <c r="K70">
        <v>6</v>
      </c>
      <c r="L70" t="s">
        <v>257</v>
      </c>
      <c r="M70">
        <v>1</v>
      </c>
    </row>
    <row r="71" spans="1:13" ht="15" customHeight="1">
      <c r="A71" t="s">
        <v>258</v>
      </c>
      <c r="C71">
        <v>2</v>
      </c>
      <c r="D71">
        <v>1</v>
      </c>
      <c r="E71">
        <v>0</v>
      </c>
      <c r="I71" t="s">
        <v>205</v>
      </c>
      <c r="J71">
        <v>3</v>
      </c>
      <c r="K71">
        <v>8</v>
      </c>
      <c r="L71" t="s">
        <v>259</v>
      </c>
      <c r="M71">
        <v>1.1</v>
      </c>
    </row>
    <row r="72" spans="1:13" ht="15" customHeight="1">
      <c r="A72" t="s">
        <v>260</v>
      </c>
      <c r="C72">
        <v>4</v>
      </c>
      <c r="D72">
        <v>2</v>
      </c>
      <c r="E72">
        <v>1</v>
      </c>
      <c r="I72" t="s">
        <v>206</v>
      </c>
      <c r="J72">
        <v>4</v>
      </c>
      <c r="K72">
        <v>10</v>
      </c>
      <c r="L72" t="s">
        <v>261</v>
      </c>
      <c r="M72">
        <v>1.2</v>
      </c>
    </row>
    <row r="73" spans="1:13" ht="15" customHeight="1">
      <c r="A73" t="s">
        <v>262</v>
      </c>
      <c r="C73">
        <v>6</v>
      </c>
      <c r="D73">
        <v>3</v>
      </c>
      <c r="E73">
        <v>1</v>
      </c>
      <c r="I73" t="s">
        <v>207</v>
      </c>
      <c r="J73">
        <v>5</v>
      </c>
      <c r="K73">
        <v>12</v>
      </c>
      <c r="L73" t="s">
        <v>263</v>
      </c>
      <c r="M73">
        <v>1.4</v>
      </c>
    </row>
    <row r="74" spans="1:13" ht="15" customHeight="1">
      <c r="A74" t="s">
        <v>264</v>
      </c>
      <c r="C74">
        <v>15</v>
      </c>
      <c r="D74">
        <v>1</v>
      </c>
      <c r="E74">
        <v>0</v>
      </c>
      <c r="I74" t="s">
        <v>208</v>
      </c>
      <c r="J74">
        <v>6</v>
      </c>
      <c r="K74">
        <v>14</v>
      </c>
      <c r="L74" t="s">
        <v>265</v>
      </c>
      <c r="M74">
        <v>1.6</v>
      </c>
    </row>
    <row r="75" spans="9:13" ht="15" customHeight="1">
      <c r="I75" t="s">
        <v>209</v>
      </c>
      <c r="J75">
        <v>7</v>
      </c>
      <c r="K75">
        <v>16</v>
      </c>
      <c r="L75" t="s">
        <v>266</v>
      </c>
      <c r="M75">
        <v>2</v>
      </c>
    </row>
    <row r="76" spans="9:11" ht="15" customHeight="1">
      <c r="I76" t="s">
        <v>210</v>
      </c>
      <c r="J76">
        <v>8</v>
      </c>
      <c r="K76">
        <v>18</v>
      </c>
    </row>
    <row r="77" spans="9:11" ht="15" customHeight="1">
      <c r="I77" t="s">
        <v>211</v>
      </c>
      <c r="J77">
        <v>9</v>
      </c>
      <c r="K77">
        <v>20</v>
      </c>
    </row>
    <row r="78" spans="10:11" ht="15" customHeight="1">
      <c r="J78">
        <v>10</v>
      </c>
      <c r="K78">
        <v>22</v>
      </c>
    </row>
    <row r="81" ht="15" customHeight="1">
      <c r="A81" s="66" t="s">
        <v>267</v>
      </c>
    </row>
    <row r="82" spans="1:4" ht="15" customHeight="1">
      <c r="A82" s="66"/>
      <c r="B82" t="s">
        <v>268</v>
      </c>
      <c r="C82" t="s">
        <v>269</v>
      </c>
      <c r="D82" t="s">
        <v>270</v>
      </c>
    </row>
    <row r="83" spans="1:4" ht="15" customHeight="1">
      <c r="A83" s="50" t="s">
        <v>200</v>
      </c>
      <c r="B83">
        <v>0</v>
      </c>
      <c r="C83">
        <v>0</v>
      </c>
      <c r="D83">
        <v>0</v>
      </c>
    </row>
    <row r="84" spans="1:4" ht="15" customHeight="1">
      <c r="A84" s="50" t="s">
        <v>271</v>
      </c>
      <c r="B84">
        <v>2</v>
      </c>
      <c r="C84">
        <v>2</v>
      </c>
      <c r="D84">
        <v>0.5</v>
      </c>
    </row>
    <row r="85" spans="1:4" ht="15" customHeight="1">
      <c r="A85" s="50" t="s">
        <v>272</v>
      </c>
      <c r="B85">
        <v>5</v>
      </c>
      <c r="C85">
        <v>5</v>
      </c>
      <c r="D85">
        <v>1</v>
      </c>
    </row>
    <row r="86" spans="1:4" ht="15" customHeight="1">
      <c r="A86" s="50" t="s">
        <v>273</v>
      </c>
      <c r="B86">
        <v>11</v>
      </c>
      <c r="C86">
        <v>11</v>
      </c>
      <c r="D86">
        <v>2</v>
      </c>
    </row>
    <row r="88" ht="15" customHeight="1">
      <c r="A88">
        <v>0</v>
      </c>
    </row>
    <row r="89" ht="15" customHeight="1">
      <c r="A89">
        <v>1</v>
      </c>
    </row>
    <row r="90" ht="15" customHeight="1">
      <c r="A90">
        <v>2</v>
      </c>
    </row>
    <row r="91" ht="15" customHeight="1">
      <c r="A91">
        <v>3</v>
      </c>
    </row>
    <row r="92" ht="15" customHeight="1">
      <c r="A92">
        <v>4</v>
      </c>
    </row>
    <row r="93" ht="15" customHeight="1">
      <c r="A93" s="51">
        <f aca="true" t="shared" si="0" ref="A93:A107">A92+1</f>
        <v>5</v>
      </c>
    </row>
    <row r="94" ht="15" customHeight="1">
      <c r="A94" s="51">
        <f t="shared" si="0"/>
        <v>6</v>
      </c>
    </row>
    <row r="95" ht="15" customHeight="1">
      <c r="A95" s="51">
        <f t="shared" si="0"/>
        <v>7</v>
      </c>
    </row>
    <row r="96" ht="15" customHeight="1">
      <c r="A96" s="51">
        <f t="shared" si="0"/>
        <v>8</v>
      </c>
    </row>
    <row r="97" ht="15" customHeight="1">
      <c r="A97" s="51">
        <f t="shared" si="0"/>
        <v>9</v>
      </c>
    </row>
    <row r="98" ht="15" customHeight="1">
      <c r="A98" s="51">
        <f t="shared" si="0"/>
        <v>10</v>
      </c>
    </row>
    <row r="99" ht="15" customHeight="1">
      <c r="A99" s="51">
        <f t="shared" si="0"/>
        <v>11</v>
      </c>
    </row>
    <row r="100" ht="15" customHeight="1">
      <c r="A100" s="51">
        <f t="shared" si="0"/>
        <v>12</v>
      </c>
    </row>
    <row r="101" ht="15" customHeight="1">
      <c r="A101" s="51">
        <f t="shared" si="0"/>
        <v>13</v>
      </c>
    </row>
    <row r="102" ht="15" customHeight="1">
      <c r="A102" s="51">
        <f t="shared" si="0"/>
        <v>14</v>
      </c>
    </row>
    <row r="103" ht="15" customHeight="1">
      <c r="A103" s="51">
        <f t="shared" si="0"/>
        <v>15</v>
      </c>
    </row>
    <row r="104" ht="15" customHeight="1">
      <c r="A104" s="51">
        <f t="shared" si="0"/>
        <v>16</v>
      </c>
    </row>
    <row r="105" ht="15" customHeight="1">
      <c r="A105" s="51">
        <f t="shared" si="0"/>
        <v>17</v>
      </c>
    </row>
    <row r="106" ht="15" customHeight="1">
      <c r="A106" s="51">
        <f t="shared" si="0"/>
        <v>18</v>
      </c>
    </row>
    <row r="107" ht="15" customHeight="1">
      <c r="A107" s="51">
        <f t="shared" si="0"/>
        <v>19</v>
      </c>
    </row>
    <row r="108" ht="15" customHeight="1">
      <c r="A108" s="51">
        <v>20</v>
      </c>
    </row>
    <row r="109" ht="15" customHeight="1">
      <c r="A109" s="51">
        <v>21</v>
      </c>
    </row>
    <row r="110" ht="15" customHeight="1">
      <c r="A110" s="51">
        <v>22</v>
      </c>
    </row>
    <row r="111" ht="15" customHeight="1">
      <c r="A111" s="51">
        <v>23</v>
      </c>
    </row>
    <row r="112" ht="15" customHeight="1">
      <c r="A112" s="51">
        <v>24</v>
      </c>
    </row>
    <row r="113" ht="15" customHeight="1">
      <c r="A113" s="51">
        <v>25</v>
      </c>
    </row>
    <row r="114" ht="15" customHeight="1">
      <c r="A114" s="51">
        <v>26</v>
      </c>
    </row>
    <row r="115" ht="15" customHeight="1">
      <c r="A115" s="51">
        <v>27</v>
      </c>
    </row>
    <row r="116" ht="15" customHeight="1">
      <c r="A116" s="51">
        <v>28</v>
      </c>
    </row>
    <row r="117" ht="15" customHeight="1">
      <c r="A117" s="51">
        <v>29</v>
      </c>
    </row>
    <row r="118" ht="15" customHeight="1">
      <c r="A118" s="51">
        <v>30</v>
      </c>
    </row>
    <row r="119" ht="15" customHeight="1">
      <c r="A119" s="51">
        <v>31</v>
      </c>
    </row>
    <row r="120" ht="15" customHeight="1">
      <c r="A120" s="51">
        <v>32</v>
      </c>
    </row>
    <row r="121" ht="15" customHeight="1">
      <c r="A121" s="51">
        <v>33</v>
      </c>
    </row>
    <row r="122" ht="15" customHeight="1">
      <c r="A122" s="51">
        <v>34</v>
      </c>
    </row>
    <row r="123" ht="15" customHeight="1">
      <c r="A123" s="51">
        <v>35</v>
      </c>
    </row>
    <row r="124" ht="15" customHeight="1">
      <c r="A124" s="51">
        <v>36</v>
      </c>
    </row>
    <row r="125" ht="15" customHeight="1">
      <c r="A125" s="51">
        <v>37</v>
      </c>
    </row>
    <row r="126" ht="15" customHeight="1">
      <c r="A126" s="51">
        <v>38</v>
      </c>
    </row>
    <row r="127" ht="15" customHeight="1">
      <c r="A127" s="51">
        <v>39</v>
      </c>
    </row>
    <row r="128" ht="15" customHeight="1">
      <c r="A128">
        <v>40</v>
      </c>
    </row>
    <row r="129" ht="15" customHeight="1">
      <c r="A129" s="51">
        <f aca="true" t="shared" si="1" ref="A129:A134">A128+1</f>
        <v>41</v>
      </c>
    </row>
    <row r="130" ht="15" customHeight="1">
      <c r="A130" s="51">
        <f t="shared" si="1"/>
        <v>42</v>
      </c>
    </row>
    <row r="131" ht="15" customHeight="1">
      <c r="A131" s="51">
        <f t="shared" si="1"/>
        <v>43</v>
      </c>
    </row>
    <row r="132" ht="15" customHeight="1">
      <c r="A132" s="51">
        <f t="shared" si="1"/>
        <v>44</v>
      </c>
    </row>
    <row r="133" ht="15" customHeight="1">
      <c r="A133" s="51">
        <f t="shared" si="1"/>
        <v>45</v>
      </c>
    </row>
    <row r="134" ht="15" customHeight="1">
      <c r="A134" s="51">
        <f t="shared" si="1"/>
        <v>46</v>
      </c>
    </row>
    <row r="135" ht="15" customHeight="1">
      <c r="A135">
        <v>47</v>
      </c>
    </row>
    <row r="136" ht="15" customHeight="1">
      <c r="A136" s="51">
        <f>A135+1</f>
        <v>48</v>
      </c>
    </row>
    <row r="137" ht="15" customHeight="1">
      <c r="A137" s="51">
        <f>A136+1</f>
        <v>49</v>
      </c>
    </row>
    <row r="138" ht="15" customHeight="1">
      <c r="A138" s="51">
        <v>50</v>
      </c>
    </row>
    <row r="139" ht="15" customHeight="1">
      <c r="A139" s="51">
        <v>51</v>
      </c>
    </row>
    <row r="140" ht="15" customHeight="1">
      <c r="A140" s="51">
        <v>52</v>
      </c>
    </row>
    <row r="141" ht="15" customHeight="1">
      <c r="A141" s="51">
        <v>53</v>
      </c>
    </row>
    <row r="142" ht="15" customHeight="1">
      <c r="A142" s="51">
        <v>54</v>
      </c>
    </row>
    <row r="143" ht="15" customHeight="1">
      <c r="A143" s="51">
        <v>55</v>
      </c>
    </row>
    <row r="144" ht="15" customHeight="1">
      <c r="A144" s="51">
        <v>56</v>
      </c>
    </row>
    <row r="145" ht="15" customHeight="1">
      <c r="A145" s="51">
        <v>57</v>
      </c>
    </row>
    <row r="146" ht="15" customHeight="1">
      <c r="A146" s="51">
        <v>58</v>
      </c>
    </row>
    <row r="147" ht="15" customHeight="1">
      <c r="A147" s="51">
        <v>59</v>
      </c>
    </row>
    <row r="148" ht="15" customHeight="1">
      <c r="A148" s="51">
        <v>60</v>
      </c>
    </row>
    <row r="149" ht="15" customHeight="1">
      <c r="A149" s="51">
        <v>61</v>
      </c>
    </row>
    <row r="150" ht="15" customHeight="1">
      <c r="A150" s="51">
        <v>62</v>
      </c>
    </row>
    <row r="151" ht="15" customHeight="1">
      <c r="A151" s="51">
        <v>63</v>
      </c>
    </row>
    <row r="152" ht="15" customHeight="1">
      <c r="A152" s="51">
        <v>64</v>
      </c>
    </row>
    <row r="153" ht="15" customHeight="1">
      <c r="A153" s="51">
        <v>65</v>
      </c>
    </row>
    <row r="154" ht="15" customHeight="1">
      <c r="A154" s="51">
        <v>66</v>
      </c>
    </row>
    <row r="155" ht="15" customHeight="1">
      <c r="A155" s="51">
        <v>67</v>
      </c>
    </row>
    <row r="156" ht="15" customHeight="1">
      <c r="A156" s="51">
        <v>68</v>
      </c>
    </row>
    <row r="157" ht="15" customHeight="1">
      <c r="A157" s="51">
        <v>69</v>
      </c>
    </row>
    <row r="158" ht="15" customHeight="1">
      <c r="A158" s="51">
        <v>70</v>
      </c>
    </row>
    <row r="159" ht="15" customHeight="1">
      <c r="A159" s="51">
        <v>71</v>
      </c>
    </row>
    <row r="160" ht="15" customHeight="1">
      <c r="A160" s="51">
        <v>72</v>
      </c>
    </row>
    <row r="161" ht="15" customHeight="1">
      <c r="A161" s="51">
        <v>73</v>
      </c>
    </row>
    <row r="162" ht="15" customHeight="1">
      <c r="A162" s="51">
        <v>74</v>
      </c>
    </row>
    <row r="163" ht="15" customHeight="1">
      <c r="A163" s="51">
        <v>75</v>
      </c>
    </row>
    <row r="164" ht="15" customHeight="1">
      <c r="A164" s="51">
        <v>76</v>
      </c>
    </row>
    <row r="165" ht="15" customHeight="1">
      <c r="A165" s="51">
        <v>77</v>
      </c>
    </row>
    <row r="166" ht="15" customHeight="1">
      <c r="A166" s="51">
        <v>78</v>
      </c>
    </row>
    <row r="167" ht="15" customHeight="1">
      <c r="A167" s="51">
        <v>79</v>
      </c>
    </row>
    <row r="168" ht="15" customHeight="1">
      <c r="A168" s="51">
        <v>80</v>
      </c>
    </row>
    <row r="169" ht="15" customHeight="1">
      <c r="A169" s="51">
        <v>81</v>
      </c>
    </row>
    <row r="170" ht="15" customHeight="1">
      <c r="A170" s="51">
        <v>82</v>
      </c>
    </row>
    <row r="171" ht="15" customHeight="1">
      <c r="A171" s="51">
        <v>83</v>
      </c>
    </row>
    <row r="172" ht="15" customHeight="1">
      <c r="A172" s="51">
        <v>84</v>
      </c>
    </row>
    <row r="173" ht="15" customHeight="1">
      <c r="A173" s="51">
        <v>85</v>
      </c>
    </row>
    <row r="174" ht="15" customHeight="1">
      <c r="A174" s="51">
        <v>86</v>
      </c>
    </row>
    <row r="175" ht="15" customHeight="1">
      <c r="A175" s="51">
        <v>87</v>
      </c>
    </row>
    <row r="176" ht="15" customHeight="1">
      <c r="A176" s="51">
        <v>88</v>
      </c>
    </row>
    <row r="177" ht="15" customHeight="1">
      <c r="A177" s="51">
        <v>89</v>
      </c>
    </row>
    <row r="178" ht="15" customHeight="1">
      <c r="A178" s="51">
        <v>90</v>
      </c>
    </row>
    <row r="179" ht="15" customHeight="1">
      <c r="A179" s="51">
        <v>91</v>
      </c>
    </row>
    <row r="180" ht="15" customHeight="1">
      <c r="A180" s="51">
        <v>92</v>
      </c>
    </row>
    <row r="181" ht="15" customHeight="1">
      <c r="A181" s="51">
        <v>93</v>
      </c>
    </row>
    <row r="182" ht="15" customHeight="1">
      <c r="A182" s="51">
        <v>94</v>
      </c>
    </row>
    <row r="183" ht="15" customHeight="1">
      <c r="A183" s="51">
        <v>95</v>
      </c>
    </row>
    <row r="184" ht="15" customHeight="1">
      <c r="A184" s="51">
        <v>96</v>
      </c>
    </row>
    <row r="185" ht="15" customHeight="1">
      <c r="A185" s="51">
        <v>97</v>
      </c>
    </row>
    <row r="186" ht="15" customHeight="1">
      <c r="A186" s="51">
        <v>98</v>
      </c>
    </row>
    <row r="187" ht="15" customHeight="1">
      <c r="A187" s="51">
        <v>99</v>
      </c>
    </row>
    <row r="188" ht="15" customHeight="1">
      <c r="A188">
        <v>100</v>
      </c>
    </row>
    <row r="190" spans="1:6" ht="15" customHeight="1">
      <c r="A190" s="66" t="s">
        <v>11</v>
      </c>
      <c r="B190" t="s">
        <v>274</v>
      </c>
      <c r="C190" t="s">
        <v>118</v>
      </c>
      <c r="E190" t="s">
        <v>126</v>
      </c>
      <c r="F190" t="s">
        <v>275</v>
      </c>
    </row>
    <row r="191" spans="1:6" ht="15" customHeight="1">
      <c r="A191">
        <v>0</v>
      </c>
      <c r="B191">
        <v>0</v>
      </c>
      <c r="C191">
        <v>0</v>
      </c>
      <c r="E191" t="s">
        <v>276</v>
      </c>
      <c r="F191">
        <v>0</v>
      </c>
    </row>
    <row r="192" spans="1:6" ht="15" customHeight="1">
      <c r="A192">
        <v>10</v>
      </c>
      <c r="B192">
        <v>1</v>
      </c>
      <c r="C192">
        <v>0.05</v>
      </c>
      <c r="E192" t="s">
        <v>271</v>
      </c>
      <c r="F192">
        <v>0.6</v>
      </c>
    </row>
    <row r="193" spans="1:6" ht="15" customHeight="1">
      <c r="A193">
        <v>20</v>
      </c>
      <c r="B193">
        <v>2</v>
      </c>
      <c r="C193">
        <v>0.1</v>
      </c>
      <c r="E193" t="s">
        <v>272</v>
      </c>
      <c r="F193">
        <v>0.7</v>
      </c>
    </row>
    <row r="194" spans="1:6" ht="15" customHeight="1">
      <c r="A194">
        <v>30</v>
      </c>
      <c r="B194">
        <v>3</v>
      </c>
      <c r="C194">
        <v>0.15</v>
      </c>
      <c r="E194" t="s">
        <v>273</v>
      </c>
      <c r="F194">
        <v>0.8</v>
      </c>
    </row>
    <row r="195" spans="1:6" ht="15" customHeight="1">
      <c r="A195">
        <v>40</v>
      </c>
      <c r="B195">
        <v>4</v>
      </c>
      <c r="C195">
        <v>0.2</v>
      </c>
      <c r="E195" t="s">
        <v>277</v>
      </c>
      <c r="F195">
        <v>0.9</v>
      </c>
    </row>
    <row r="196" spans="1:6" ht="15" customHeight="1">
      <c r="A196">
        <v>50</v>
      </c>
      <c r="B196">
        <v>5</v>
      </c>
      <c r="C196">
        <v>0.25</v>
      </c>
      <c r="E196" t="s">
        <v>278</v>
      </c>
      <c r="F196">
        <v>1</v>
      </c>
    </row>
    <row r="197" spans="1:6" ht="15" customHeight="1">
      <c r="A197">
        <v>70</v>
      </c>
      <c r="B197">
        <v>7</v>
      </c>
      <c r="C197">
        <v>0.35</v>
      </c>
      <c r="E197" t="s">
        <v>279</v>
      </c>
      <c r="F197">
        <v>1.1</v>
      </c>
    </row>
    <row r="198" spans="1:6" ht="15" customHeight="1">
      <c r="A198">
        <v>100</v>
      </c>
      <c r="B198">
        <v>10</v>
      </c>
      <c r="C198">
        <v>0.5</v>
      </c>
      <c r="E198" t="s">
        <v>280</v>
      </c>
      <c r="F198">
        <v>1.3</v>
      </c>
    </row>
    <row r="199" spans="1:6" ht="15" customHeight="1">
      <c r="A199">
        <v>200</v>
      </c>
      <c r="B199">
        <v>12</v>
      </c>
      <c r="C199">
        <v>0.6</v>
      </c>
      <c r="E199" t="s">
        <v>281</v>
      </c>
      <c r="F199">
        <v>1.6</v>
      </c>
    </row>
    <row r="200" spans="1:6" ht="15" customHeight="1">
      <c r="A200">
        <v>500</v>
      </c>
      <c r="B200">
        <v>15</v>
      </c>
      <c r="C200">
        <v>0.75</v>
      </c>
      <c r="E200" t="s">
        <v>282</v>
      </c>
      <c r="F200">
        <v>2</v>
      </c>
    </row>
    <row r="201" spans="1:6" ht="15" customHeight="1">
      <c r="A201">
        <v>1000</v>
      </c>
      <c r="B201">
        <v>20</v>
      </c>
      <c r="C201">
        <v>1</v>
      </c>
      <c r="E201" t="s">
        <v>283</v>
      </c>
      <c r="F201">
        <v>2.2</v>
      </c>
    </row>
    <row r="202" spans="5:6" ht="15" customHeight="1">
      <c r="E202" t="s">
        <v>284</v>
      </c>
      <c r="F202">
        <v>2.5</v>
      </c>
    </row>
    <row r="203" ht="15" customHeight="1">
      <c r="A203" s="66" t="s">
        <v>9</v>
      </c>
    </row>
    <row r="204" spans="1:14" ht="15" customHeight="1">
      <c r="A204" t="s">
        <v>37</v>
      </c>
      <c r="B204" t="s">
        <v>285</v>
      </c>
      <c r="C204" t="s">
        <v>286</v>
      </c>
      <c r="E204" t="s">
        <v>25</v>
      </c>
      <c r="F204" s="50" t="s">
        <v>31</v>
      </c>
      <c r="G204" s="50" t="s">
        <v>287</v>
      </c>
      <c r="H204" t="s">
        <v>214</v>
      </c>
      <c r="I204" t="s">
        <v>216</v>
      </c>
      <c r="J204" s="50" t="s">
        <v>217</v>
      </c>
      <c r="K204" s="50" t="s">
        <v>218</v>
      </c>
      <c r="L204" s="50" t="s">
        <v>219</v>
      </c>
      <c r="N204" s="50" t="s">
        <v>214</v>
      </c>
    </row>
    <row r="205" spans="1:14" ht="15" customHeight="1">
      <c r="A205" t="s">
        <v>200</v>
      </c>
      <c r="B205" t="s">
        <v>200</v>
      </c>
      <c r="C205" t="s">
        <v>200</v>
      </c>
      <c r="E205">
        <v>0</v>
      </c>
      <c r="F205" s="50">
        <v>0</v>
      </c>
      <c r="G205" s="50">
        <v>0</v>
      </c>
      <c r="H205">
        <v>0</v>
      </c>
      <c r="I205">
        <v>0</v>
      </c>
      <c r="J205" s="50">
        <v>0</v>
      </c>
      <c r="K205" s="50">
        <v>0</v>
      </c>
      <c r="L205" s="50">
        <v>0</v>
      </c>
      <c r="N205" s="50" t="s">
        <v>216</v>
      </c>
    </row>
    <row r="206" spans="1:14" ht="15" customHeight="1">
      <c r="A206" t="s">
        <v>201</v>
      </c>
      <c r="B206" t="s">
        <v>203</v>
      </c>
      <c r="C206" t="s">
        <v>206</v>
      </c>
      <c r="E206">
        <v>2</v>
      </c>
      <c r="F206">
        <v>1</v>
      </c>
      <c r="G206">
        <v>0</v>
      </c>
      <c r="H206">
        <v>1.5</v>
      </c>
      <c r="I206">
        <v>2</v>
      </c>
      <c r="J206">
        <v>2.3</v>
      </c>
      <c r="K206">
        <v>2.5</v>
      </c>
      <c r="L206">
        <v>3</v>
      </c>
      <c r="N206" s="50" t="s">
        <v>217</v>
      </c>
    </row>
    <row r="207" spans="1:14" ht="15" customHeight="1">
      <c r="A207" t="s">
        <v>202</v>
      </c>
      <c r="B207" t="s">
        <v>204</v>
      </c>
      <c r="C207" t="s">
        <v>207</v>
      </c>
      <c r="E207">
        <v>4</v>
      </c>
      <c r="F207">
        <v>2</v>
      </c>
      <c r="G207">
        <v>0.1</v>
      </c>
      <c r="H207">
        <v>3</v>
      </c>
      <c r="I207">
        <v>4</v>
      </c>
      <c r="J207">
        <v>4.5</v>
      </c>
      <c r="K207">
        <v>5</v>
      </c>
      <c r="L207">
        <v>6</v>
      </c>
      <c r="N207" s="50" t="s">
        <v>218</v>
      </c>
    </row>
    <row r="208" spans="1:14" ht="15" customHeight="1">
      <c r="A208" t="s">
        <v>203</v>
      </c>
      <c r="B208" t="s">
        <v>205</v>
      </c>
      <c r="C208" t="s">
        <v>208</v>
      </c>
      <c r="E208">
        <v>6</v>
      </c>
      <c r="F208">
        <v>3</v>
      </c>
      <c r="G208">
        <v>0.2</v>
      </c>
      <c r="H208">
        <v>4.5</v>
      </c>
      <c r="I208">
        <v>6</v>
      </c>
      <c r="J208">
        <v>6.7</v>
      </c>
      <c r="K208">
        <v>7.5</v>
      </c>
      <c r="L208">
        <v>9</v>
      </c>
      <c r="N208" s="50" t="s">
        <v>219</v>
      </c>
    </row>
    <row r="209" spans="1:12" ht="15" customHeight="1">
      <c r="A209" t="s">
        <v>204</v>
      </c>
      <c r="B209" t="s">
        <v>206</v>
      </c>
      <c r="C209" t="s">
        <v>209</v>
      </c>
      <c r="E209">
        <v>8</v>
      </c>
      <c r="F209">
        <v>4</v>
      </c>
      <c r="G209">
        <v>0.3</v>
      </c>
      <c r="H209">
        <v>6</v>
      </c>
      <c r="I209">
        <v>8</v>
      </c>
      <c r="J209">
        <v>9</v>
      </c>
      <c r="K209">
        <v>10</v>
      </c>
      <c r="L209">
        <v>12</v>
      </c>
    </row>
    <row r="210" spans="1:12" ht="15" customHeight="1">
      <c r="A210" t="s">
        <v>205</v>
      </c>
      <c r="B210" t="s">
        <v>207</v>
      </c>
      <c r="C210" t="s">
        <v>210</v>
      </c>
      <c r="E210">
        <v>10</v>
      </c>
      <c r="F210">
        <v>5</v>
      </c>
      <c r="G210">
        <v>0.4</v>
      </c>
      <c r="H210">
        <v>7.5</v>
      </c>
      <c r="I210">
        <v>10</v>
      </c>
      <c r="J210">
        <v>11.3</v>
      </c>
      <c r="K210">
        <v>12.5</v>
      </c>
      <c r="L210">
        <v>15</v>
      </c>
    </row>
    <row r="211" spans="1:12" ht="15" customHeight="1">
      <c r="A211" t="s">
        <v>206</v>
      </c>
      <c r="B211" t="s">
        <v>208</v>
      </c>
      <c r="C211" t="s">
        <v>211</v>
      </c>
      <c r="E211">
        <v>12</v>
      </c>
      <c r="F211">
        <v>6</v>
      </c>
      <c r="G211">
        <v>0.5</v>
      </c>
      <c r="H211">
        <v>9</v>
      </c>
      <c r="I211">
        <v>12</v>
      </c>
      <c r="J211">
        <v>13.5</v>
      </c>
      <c r="K211">
        <v>15</v>
      </c>
      <c r="L211">
        <v>18</v>
      </c>
    </row>
    <row r="212" spans="1:12" ht="15" customHeight="1">
      <c r="A212" t="s">
        <v>207</v>
      </c>
      <c r="B212" t="s">
        <v>209</v>
      </c>
      <c r="E212">
        <v>14</v>
      </c>
      <c r="F212">
        <v>7</v>
      </c>
      <c r="G212">
        <v>0.6</v>
      </c>
      <c r="H212">
        <v>10.5</v>
      </c>
      <c r="I212">
        <v>14</v>
      </c>
      <c r="J212">
        <v>15.7</v>
      </c>
      <c r="K212">
        <v>17.5</v>
      </c>
      <c r="L212">
        <v>21</v>
      </c>
    </row>
    <row r="213" spans="1:12" ht="15" customHeight="1">
      <c r="A213" t="s">
        <v>208</v>
      </c>
      <c r="B213" t="s">
        <v>210</v>
      </c>
      <c r="E213">
        <v>16</v>
      </c>
      <c r="F213">
        <v>8</v>
      </c>
      <c r="G213">
        <v>0.7</v>
      </c>
      <c r="H213">
        <v>12</v>
      </c>
      <c r="I213">
        <v>16</v>
      </c>
      <c r="J213">
        <v>18</v>
      </c>
      <c r="K213">
        <v>20</v>
      </c>
      <c r="L213">
        <v>24</v>
      </c>
    </row>
    <row r="214" spans="1:12" ht="15" customHeight="1">
      <c r="A214" t="s">
        <v>209</v>
      </c>
      <c r="B214" t="s">
        <v>211</v>
      </c>
      <c r="E214">
        <v>18</v>
      </c>
      <c r="F214">
        <v>9</v>
      </c>
      <c r="G214">
        <v>0.8</v>
      </c>
      <c r="H214">
        <v>13.5</v>
      </c>
      <c r="I214">
        <v>18</v>
      </c>
      <c r="J214">
        <v>20.3</v>
      </c>
      <c r="K214">
        <v>22.5</v>
      </c>
      <c r="L214">
        <v>27</v>
      </c>
    </row>
    <row r="215" spans="1:12" ht="15" customHeight="1">
      <c r="A215" t="s">
        <v>210</v>
      </c>
      <c r="E215">
        <v>20</v>
      </c>
      <c r="F215">
        <v>10</v>
      </c>
      <c r="G215">
        <v>0.9</v>
      </c>
      <c r="H215">
        <v>15</v>
      </c>
      <c r="I215">
        <v>20</v>
      </c>
      <c r="J215">
        <v>22.5</v>
      </c>
      <c r="K215">
        <v>25</v>
      </c>
      <c r="L215">
        <v>30</v>
      </c>
    </row>
    <row r="216" spans="1:12" ht="15" customHeight="1">
      <c r="A216" t="s">
        <v>211</v>
      </c>
      <c r="E216">
        <v>22</v>
      </c>
      <c r="F216">
        <v>11</v>
      </c>
      <c r="G216">
        <v>1</v>
      </c>
      <c r="H216">
        <v>16.5</v>
      </c>
      <c r="I216">
        <v>22</v>
      </c>
      <c r="J216">
        <v>24.7</v>
      </c>
      <c r="K216">
        <v>27.5</v>
      </c>
      <c r="L216">
        <v>33</v>
      </c>
    </row>
    <row r="218" ht="15" customHeight="1">
      <c r="A218" s="66" t="s">
        <v>288</v>
      </c>
    </row>
    <row r="219" spans="1:3" ht="15" customHeight="1">
      <c r="A219" t="s">
        <v>287</v>
      </c>
      <c r="B219" t="s">
        <v>289</v>
      </c>
      <c r="C219" t="s">
        <v>24</v>
      </c>
    </row>
    <row r="220" spans="1:3" ht="15" customHeight="1">
      <c r="A220" t="s">
        <v>200</v>
      </c>
      <c r="B220">
        <v>0</v>
      </c>
      <c r="C220">
        <v>0</v>
      </c>
    </row>
    <row r="221" spans="1:3" ht="15" customHeight="1">
      <c r="A221">
        <v>0.1</v>
      </c>
      <c r="B221">
        <v>2</v>
      </c>
      <c r="C221">
        <v>2</v>
      </c>
    </row>
    <row r="222" spans="1:3" ht="15" customHeight="1">
      <c r="A222">
        <v>0.2</v>
      </c>
      <c r="B222">
        <v>3</v>
      </c>
      <c r="C222">
        <v>3</v>
      </c>
    </row>
    <row r="223" spans="1:3" ht="15" customHeight="1">
      <c r="A223">
        <v>0.3</v>
      </c>
      <c r="B223">
        <v>4</v>
      </c>
      <c r="C223">
        <v>4</v>
      </c>
    </row>
    <row r="224" spans="1:3" ht="15" customHeight="1">
      <c r="A224">
        <v>0.4</v>
      </c>
      <c r="B224">
        <v>5</v>
      </c>
      <c r="C224">
        <v>5</v>
      </c>
    </row>
    <row r="225" spans="1:3" ht="15" customHeight="1">
      <c r="A225">
        <v>0.5</v>
      </c>
      <c r="B225">
        <v>6</v>
      </c>
      <c r="C225">
        <v>6</v>
      </c>
    </row>
    <row r="226" spans="1:3" ht="15" customHeight="1">
      <c r="A226">
        <v>0.6</v>
      </c>
      <c r="B226">
        <v>7</v>
      </c>
      <c r="C226">
        <v>7</v>
      </c>
    </row>
    <row r="227" spans="1:3" ht="15" customHeight="1">
      <c r="A227">
        <v>0.7</v>
      </c>
      <c r="B227">
        <v>8</v>
      </c>
      <c r="C227">
        <v>8</v>
      </c>
    </row>
    <row r="228" spans="1:3" ht="15" customHeight="1">
      <c r="A228">
        <v>0.8</v>
      </c>
      <c r="B228">
        <v>9</v>
      </c>
      <c r="C228">
        <v>9</v>
      </c>
    </row>
    <row r="229" spans="1:3" ht="15" customHeight="1">
      <c r="A229">
        <v>0.9</v>
      </c>
      <c r="B229">
        <v>10</v>
      </c>
      <c r="C229">
        <v>10</v>
      </c>
    </row>
    <row r="230" spans="1:3" ht="15" customHeight="1">
      <c r="A230">
        <v>1</v>
      </c>
      <c r="B230">
        <v>11</v>
      </c>
      <c r="C230">
        <v>11</v>
      </c>
    </row>
    <row r="232" ht="15" customHeight="1">
      <c r="A232" s="66" t="s">
        <v>85</v>
      </c>
    </row>
    <row r="233" spans="1:5" ht="15" customHeight="1">
      <c r="A233" t="s">
        <v>147</v>
      </c>
      <c r="B233" t="s">
        <v>24</v>
      </c>
      <c r="C233" t="s">
        <v>4</v>
      </c>
      <c r="D233" t="s">
        <v>120</v>
      </c>
      <c r="E233" t="s">
        <v>290</v>
      </c>
    </row>
    <row r="234" spans="1:5" ht="15" customHeight="1">
      <c r="A234" t="s">
        <v>291</v>
      </c>
      <c r="B234">
        <v>-0.15</v>
      </c>
      <c r="C234">
        <v>-1</v>
      </c>
      <c r="D234">
        <v>-1</v>
      </c>
      <c r="E234" s="68">
        <v>-1</v>
      </c>
    </row>
    <row r="235" spans="1:5" ht="15" customHeight="1">
      <c r="A235" t="s">
        <v>216</v>
      </c>
      <c r="B235">
        <v>0</v>
      </c>
      <c r="C235">
        <v>0</v>
      </c>
      <c r="D235">
        <v>0</v>
      </c>
      <c r="E235">
        <v>0</v>
      </c>
    </row>
    <row r="236" spans="1:5" ht="15" customHeight="1">
      <c r="A236" t="s">
        <v>292</v>
      </c>
      <c r="B236">
        <v>0.15</v>
      </c>
      <c r="C236">
        <v>1</v>
      </c>
      <c r="D236">
        <v>1</v>
      </c>
      <c r="E236" s="69">
        <v>0.33</v>
      </c>
    </row>
    <row r="237" spans="1:5" ht="15" customHeight="1">
      <c r="A237" t="s">
        <v>293</v>
      </c>
      <c r="B237">
        <v>0.3</v>
      </c>
      <c r="C237">
        <v>2</v>
      </c>
      <c r="D237">
        <v>2</v>
      </c>
      <c r="E237" s="68">
        <v>0.67</v>
      </c>
    </row>
    <row r="238" spans="1:5" ht="15" customHeight="1">
      <c r="A238" t="s">
        <v>610</v>
      </c>
      <c r="B238">
        <v>0.5</v>
      </c>
      <c r="C238">
        <v>3</v>
      </c>
      <c r="D238">
        <v>3</v>
      </c>
      <c r="E238" s="68">
        <v>1</v>
      </c>
    </row>
    <row r="239" ht="15" customHeight="1">
      <c r="A239" s="66" t="s">
        <v>294</v>
      </c>
    </row>
    <row r="240" spans="1:2" ht="15" customHeight="1">
      <c r="A240" t="s">
        <v>295</v>
      </c>
      <c r="B240">
        <v>0</v>
      </c>
    </row>
    <row r="241" spans="1:2" ht="15" customHeight="1">
      <c r="A241" t="s">
        <v>296</v>
      </c>
      <c r="B241">
        <v>0.5</v>
      </c>
    </row>
    <row r="242" spans="1:2" ht="15" customHeight="1">
      <c r="A242" t="s">
        <v>297</v>
      </c>
      <c r="B242">
        <v>-0.15</v>
      </c>
    </row>
    <row r="243" spans="1:2" ht="15" customHeight="1">
      <c r="A243" t="s">
        <v>298</v>
      </c>
      <c r="B243">
        <v>-0.33</v>
      </c>
    </row>
    <row r="244" spans="1:2" ht="15" customHeight="1">
      <c r="A244" t="s">
        <v>611</v>
      </c>
      <c r="B244">
        <v>0.75</v>
      </c>
    </row>
    <row r="245" spans="1:3" ht="15" customHeight="1">
      <c r="A245" s="66" t="s">
        <v>149</v>
      </c>
      <c r="B245" t="s">
        <v>24</v>
      </c>
      <c r="C245" t="s">
        <v>290</v>
      </c>
    </row>
    <row r="246" spans="1:3" ht="15" customHeight="1">
      <c r="A246" t="s">
        <v>299</v>
      </c>
      <c r="B246">
        <v>-0.05</v>
      </c>
      <c r="C246">
        <v>-2</v>
      </c>
    </row>
    <row r="247" spans="1:3" ht="15" customHeight="1">
      <c r="A247" t="s">
        <v>300</v>
      </c>
      <c r="B247">
        <v>0</v>
      </c>
      <c r="C247">
        <v>0</v>
      </c>
    </row>
    <row r="248" spans="1:3" ht="15" customHeight="1">
      <c r="A248" t="s">
        <v>301</v>
      </c>
      <c r="B248">
        <v>0.05</v>
      </c>
      <c r="C248" s="68">
        <v>0.33</v>
      </c>
    </row>
    <row r="249" spans="1:3" ht="15" customHeight="1">
      <c r="A249" t="s">
        <v>302</v>
      </c>
      <c r="B249">
        <v>0.1</v>
      </c>
      <c r="C249" s="68">
        <v>0.67</v>
      </c>
    </row>
    <row r="250" spans="1:3" ht="15" customHeight="1">
      <c r="A250" t="s">
        <v>286</v>
      </c>
      <c r="B250">
        <v>0.07</v>
      </c>
      <c r="C250" s="68">
        <v>0.5</v>
      </c>
    </row>
    <row r="252" spans="1:2" ht="15" customHeight="1">
      <c r="A252" s="66" t="s">
        <v>150</v>
      </c>
      <c r="B252" t="s">
        <v>24</v>
      </c>
    </row>
    <row r="253" spans="1:6" ht="15" customHeight="1">
      <c r="A253" t="s">
        <v>303</v>
      </c>
      <c r="B253">
        <v>-0.1</v>
      </c>
      <c r="C253" t="s">
        <v>304</v>
      </c>
      <c r="F253">
        <v>0</v>
      </c>
    </row>
    <row r="254" spans="1:6" ht="15" customHeight="1">
      <c r="A254" t="s">
        <v>305</v>
      </c>
      <c r="B254">
        <v>-0.05</v>
      </c>
      <c r="F254">
        <v>0</v>
      </c>
    </row>
    <row r="255" spans="1:6" ht="15" customHeight="1">
      <c r="A255" t="s">
        <v>216</v>
      </c>
      <c r="B255">
        <v>0</v>
      </c>
      <c r="F255">
        <v>0</v>
      </c>
    </row>
    <row r="256" spans="1:6" ht="15" customHeight="1">
      <c r="A256" t="s">
        <v>306</v>
      </c>
      <c r="B256">
        <v>0.1</v>
      </c>
      <c r="C256" t="s">
        <v>307</v>
      </c>
      <c r="F256">
        <v>1</v>
      </c>
    </row>
    <row r="257" spans="1:6" ht="15" customHeight="1">
      <c r="A257" t="s">
        <v>308</v>
      </c>
      <c r="B257">
        <v>0.2</v>
      </c>
      <c r="C257" t="s">
        <v>309</v>
      </c>
      <c r="F257">
        <v>2</v>
      </c>
    </row>
    <row r="259" ht="15" customHeight="1">
      <c r="A259" s="66" t="s">
        <v>310</v>
      </c>
    </row>
    <row r="260" spans="1:2" ht="15" customHeight="1">
      <c r="A260" t="s">
        <v>153</v>
      </c>
      <c r="B260">
        <v>0.05</v>
      </c>
    </row>
    <row r="261" spans="1:2" ht="15" customHeight="1">
      <c r="A261" t="s">
        <v>154</v>
      </c>
      <c r="B261">
        <v>0.05</v>
      </c>
    </row>
    <row r="262" spans="1:2" ht="15" customHeight="1">
      <c r="A262" t="s">
        <v>155</v>
      </c>
      <c r="B262">
        <v>0.05</v>
      </c>
    </row>
    <row r="263" spans="1:2" ht="15" customHeight="1">
      <c r="A263" t="s">
        <v>156</v>
      </c>
      <c r="B263">
        <v>0.05</v>
      </c>
    </row>
    <row r="264" spans="1:2" ht="15" customHeight="1">
      <c r="A264" t="s">
        <v>25</v>
      </c>
      <c r="B264">
        <v>0.05</v>
      </c>
    </row>
    <row r="265" spans="1:2" ht="15" customHeight="1">
      <c r="A265" t="s">
        <v>157</v>
      </c>
      <c r="B265">
        <v>0.1</v>
      </c>
    </row>
    <row r="266" spans="1:6" ht="15" customHeight="1">
      <c r="A266" t="s">
        <v>158</v>
      </c>
      <c r="B266">
        <v>0.1</v>
      </c>
      <c r="F266">
        <f>SUM(F203:F265)</f>
        <v>69</v>
      </c>
    </row>
    <row r="268" ht="15" customHeight="1">
      <c r="A268" s="66" t="s">
        <v>159</v>
      </c>
    </row>
    <row r="269" spans="1:3" ht="15" customHeight="1">
      <c r="A269" t="s">
        <v>200</v>
      </c>
      <c r="B269">
        <v>0</v>
      </c>
      <c r="C269">
        <v>0</v>
      </c>
    </row>
    <row r="270" spans="1:3" ht="15" customHeight="1">
      <c r="A270" t="s">
        <v>271</v>
      </c>
      <c r="B270">
        <v>0.1</v>
      </c>
      <c r="C270">
        <v>5</v>
      </c>
    </row>
    <row r="271" spans="1:3" ht="15" customHeight="1">
      <c r="A271" t="s">
        <v>272</v>
      </c>
      <c r="B271">
        <v>0.2</v>
      </c>
      <c r="C271">
        <v>10</v>
      </c>
    </row>
    <row r="272" spans="1:3" ht="15" customHeight="1">
      <c r="A272" t="s">
        <v>273</v>
      </c>
      <c r="B272">
        <v>0.3</v>
      </c>
      <c r="C272">
        <v>15</v>
      </c>
    </row>
    <row r="273" spans="1:3" ht="15" customHeight="1">
      <c r="A273" t="s">
        <v>277</v>
      </c>
      <c r="B273">
        <v>0.4</v>
      </c>
      <c r="C273">
        <v>20</v>
      </c>
    </row>
    <row r="274" spans="1:3" ht="15" customHeight="1">
      <c r="A274" t="s">
        <v>278</v>
      </c>
      <c r="B274">
        <v>0.5</v>
      </c>
      <c r="C274">
        <v>25</v>
      </c>
    </row>
    <row r="275" spans="1:3" ht="15" customHeight="1">
      <c r="A275" t="s">
        <v>279</v>
      </c>
      <c r="B275">
        <v>0.6</v>
      </c>
      <c r="C275">
        <v>30</v>
      </c>
    </row>
    <row r="276" spans="1:3" ht="15" customHeight="1">
      <c r="A276" t="s">
        <v>311</v>
      </c>
      <c r="B276">
        <v>0.7</v>
      </c>
      <c r="C276">
        <v>35</v>
      </c>
    </row>
    <row r="277" spans="1:3" ht="15" customHeight="1">
      <c r="A277" t="s">
        <v>280</v>
      </c>
      <c r="B277">
        <v>0.8</v>
      </c>
      <c r="C277">
        <v>40</v>
      </c>
    </row>
    <row r="278" spans="1:3" ht="15" customHeight="1">
      <c r="A278" t="s">
        <v>312</v>
      </c>
      <c r="B278">
        <v>0.9</v>
      </c>
      <c r="C278">
        <v>45</v>
      </c>
    </row>
    <row r="279" spans="1:3" ht="15" customHeight="1">
      <c r="A279" t="s">
        <v>281</v>
      </c>
      <c r="B279">
        <v>1</v>
      </c>
      <c r="C279">
        <v>50</v>
      </c>
    </row>
    <row r="281" ht="15" customHeight="1">
      <c r="A281" s="66" t="s">
        <v>91</v>
      </c>
    </row>
    <row r="282" spans="1:2" ht="15" customHeight="1">
      <c r="A282" t="s">
        <v>200</v>
      </c>
      <c r="B282">
        <v>0</v>
      </c>
    </row>
    <row r="283" spans="1:2" ht="15" customHeight="1">
      <c r="A283" t="s">
        <v>313</v>
      </c>
      <c r="B283">
        <v>0.05</v>
      </c>
    </row>
    <row r="284" spans="1:2" ht="15" customHeight="1">
      <c r="A284" t="s">
        <v>314</v>
      </c>
      <c r="B284">
        <v>0.1</v>
      </c>
    </row>
    <row r="285" spans="1:2" ht="15" customHeight="1">
      <c r="A285" t="s">
        <v>315</v>
      </c>
      <c r="B285">
        <v>0.2</v>
      </c>
    </row>
    <row r="287" spans="1:6" ht="15" customHeight="1">
      <c r="A287" s="66" t="s">
        <v>162</v>
      </c>
      <c r="F287" s="66" t="s">
        <v>165</v>
      </c>
    </row>
    <row r="288" spans="1:4" ht="15" customHeight="1">
      <c r="A288" t="s">
        <v>163</v>
      </c>
      <c r="B288" t="s">
        <v>83</v>
      </c>
      <c r="C288" t="s">
        <v>164</v>
      </c>
      <c r="D288" t="s">
        <v>83</v>
      </c>
    </row>
    <row r="289" spans="1:8" ht="15" customHeight="1">
      <c r="A289" t="s">
        <v>200</v>
      </c>
      <c r="B289">
        <v>0</v>
      </c>
      <c r="C289" t="s">
        <v>200</v>
      </c>
      <c r="D289">
        <v>0</v>
      </c>
      <c r="F289" t="s">
        <v>200</v>
      </c>
      <c r="H289">
        <v>0</v>
      </c>
    </row>
    <row r="290" spans="1:8" ht="15" customHeight="1">
      <c r="A290">
        <v>1</v>
      </c>
      <c r="B290">
        <v>0.1</v>
      </c>
      <c r="C290">
        <v>1</v>
      </c>
      <c r="D290">
        <v>0.4</v>
      </c>
      <c r="F290" t="s">
        <v>316</v>
      </c>
      <c r="H290">
        <v>0.15</v>
      </c>
    </row>
    <row r="291" spans="1:8" ht="15" customHeight="1">
      <c r="A291">
        <v>2</v>
      </c>
      <c r="B291">
        <v>0.2</v>
      </c>
      <c r="C291">
        <v>2</v>
      </c>
      <c r="D291">
        <v>0.6</v>
      </c>
      <c r="F291" t="s">
        <v>317</v>
      </c>
      <c r="H291">
        <v>0.3</v>
      </c>
    </row>
    <row r="292" spans="1:8" ht="15" customHeight="1">
      <c r="A292">
        <v>3</v>
      </c>
      <c r="B292">
        <v>0.3</v>
      </c>
      <c r="C292">
        <v>3</v>
      </c>
      <c r="D292">
        <v>0.7</v>
      </c>
      <c r="F292" t="s">
        <v>318</v>
      </c>
      <c r="H292">
        <v>0.1</v>
      </c>
    </row>
    <row r="293" spans="1:8" ht="15" customHeight="1">
      <c r="A293">
        <v>4</v>
      </c>
      <c r="B293">
        <v>0.4</v>
      </c>
      <c r="C293">
        <v>4</v>
      </c>
      <c r="D293">
        <v>0.9</v>
      </c>
      <c r="F293" t="s">
        <v>319</v>
      </c>
      <c r="H293">
        <v>0.1</v>
      </c>
    </row>
    <row r="294" spans="1:8" ht="15" customHeight="1">
      <c r="A294">
        <v>5</v>
      </c>
      <c r="B294">
        <v>0.5</v>
      </c>
      <c r="C294">
        <v>5</v>
      </c>
      <c r="D294">
        <v>1</v>
      </c>
      <c r="F294" t="s">
        <v>320</v>
      </c>
      <c r="H294">
        <v>0.1</v>
      </c>
    </row>
    <row r="295" spans="1:8" ht="15" customHeight="1">
      <c r="A295">
        <v>6</v>
      </c>
      <c r="B295">
        <v>0.6</v>
      </c>
      <c r="C295">
        <v>7</v>
      </c>
      <c r="D295">
        <v>1.2</v>
      </c>
      <c r="F295" t="s">
        <v>321</v>
      </c>
      <c r="H295">
        <v>0.3</v>
      </c>
    </row>
    <row r="296" spans="1:8" ht="15" customHeight="1">
      <c r="A296">
        <v>7</v>
      </c>
      <c r="B296">
        <v>0.7</v>
      </c>
      <c r="C296">
        <v>10</v>
      </c>
      <c r="D296">
        <v>1.5</v>
      </c>
      <c r="F296" t="s">
        <v>322</v>
      </c>
      <c r="H296">
        <v>0.2</v>
      </c>
    </row>
    <row r="297" spans="1:4" ht="15" customHeight="1">
      <c r="A297">
        <v>8</v>
      </c>
      <c r="B297">
        <v>0.8</v>
      </c>
      <c r="C297">
        <v>15</v>
      </c>
      <c r="D297">
        <v>1.7</v>
      </c>
    </row>
    <row r="298" spans="1:4" ht="15" customHeight="1">
      <c r="A298">
        <v>9</v>
      </c>
      <c r="B298">
        <v>0.9</v>
      </c>
      <c r="C298">
        <v>20</v>
      </c>
      <c r="D298">
        <v>1.9</v>
      </c>
    </row>
    <row r="299" spans="1:4" ht="15" customHeight="1">
      <c r="A299">
        <v>10</v>
      </c>
      <c r="B299">
        <v>1</v>
      </c>
      <c r="C299">
        <v>25</v>
      </c>
      <c r="D299">
        <v>2</v>
      </c>
    </row>
    <row r="301" ht="15" customHeight="1">
      <c r="A301" s="66" t="s">
        <v>166</v>
      </c>
    </row>
    <row r="302" spans="1:2" ht="15" customHeight="1">
      <c r="A302" t="s">
        <v>200</v>
      </c>
      <c r="B302">
        <v>0</v>
      </c>
    </row>
    <row r="303" spans="1:7" ht="15" customHeight="1">
      <c r="A303">
        <v>1</v>
      </c>
      <c r="B303">
        <v>0.05</v>
      </c>
      <c r="E303" t="s">
        <v>323</v>
      </c>
      <c r="G303">
        <v>1</v>
      </c>
    </row>
    <row r="304" spans="1:7" ht="15" customHeight="1">
      <c r="A304">
        <v>2</v>
      </c>
      <c r="B304">
        <v>0.1</v>
      </c>
      <c r="E304" t="s">
        <v>324</v>
      </c>
      <c r="G304">
        <v>0.7</v>
      </c>
    </row>
    <row r="305" spans="1:2" ht="15" customHeight="1">
      <c r="A305">
        <v>3</v>
      </c>
      <c r="B305">
        <v>0.15</v>
      </c>
    </row>
    <row r="306" spans="1:2" ht="15" customHeight="1">
      <c r="A306">
        <v>4</v>
      </c>
      <c r="B306">
        <v>0.2</v>
      </c>
    </row>
    <row r="307" spans="1:2" ht="15" customHeight="1">
      <c r="A307">
        <v>5</v>
      </c>
      <c r="B307">
        <v>0.25</v>
      </c>
    </row>
    <row r="308" spans="1:2" ht="15" customHeight="1">
      <c r="A308">
        <v>6</v>
      </c>
      <c r="B308">
        <v>0.3</v>
      </c>
    </row>
    <row r="309" spans="1:2" ht="15" customHeight="1">
      <c r="A309">
        <v>7</v>
      </c>
      <c r="B309">
        <v>0.35</v>
      </c>
    </row>
    <row r="310" spans="1:2" ht="15" customHeight="1">
      <c r="A310">
        <v>8</v>
      </c>
      <c r="B310">
        <v>0.4</v>
      </c>
    </row>
    <row r="311" spans="1:2" ht="15" customHeight="1">
      <c r="A311">
        <v>9</v>
      </c>
      <c r="B311">
        <v>0.45</v>
      </c>
    </row>
    <row r="312" spans="1:2" ht="15" customHeight="1">
      <c r="A312">
        <v>10</v>
      </c>
      <c r="B312">
        <v>0.5</v>
      </c>
    </row>
    <row r="314" ht="15" customHeight="1">
      <c r="A314" s="66" t="s">
        <v>167</v>
      </c>
    </row>
    <row r="315" spans="1:9" ht="15" customHeight="1">
      <c r="A315" t="s">
        <v>200</v>
      </c>
      <c r="B315">
        <v>0</v>
      </c>
      <c r="C315" t="s">
        <v>164</v>
      </c>
      <c r="E315" t="s">
        <v>168</v>
      </c>
      <c r="G315" t="s">
        <v>169</v>
      </c>
      <c r="I315" t="s">
        <v>160</v>
      </c>
    </row>
    <row r="316" spans="1:10" ht="15" customHeight="1">
      <c r="A316">
        <v>1</v>
      </c>
      <c r="B316">
        <v>0.2</v>
      </c>
      <c r="C316">
        <v>1</v>
      </c>
      <c r="D316">
        <v>0.5</v>
      </c>
      <c r="E316">
        <v>0.5</v>
      </c>
      <c r="F316">
        <v>2</v>
      </c>
      <c r="G316">
        <v>0</v>
      </c>
      <c r="H316">
        <v>1.3</v>
      </c>
      <c r="I316">
        <v>1</v>
      </c>
      <c r="J316">
        <v>2</v>
      </c>
    </row>
    <row r="317" spans="1:10" ht="15" customHeight="1">
      <c r="A317">
        <v>2</v>
      </c>
      <c r="B317">
        <v>0.3</v>
      </c>
      <c r="C317">
        <v>2</v>
      </c>
      <c r="D317">
        <v>0.8</v>
      </c>
      <c r="E317">
        <v>1</v>
      </c>
      <c r="F317">
        <v>1</v>
      </c>
      <c r="G317">
        <v>1</v>
      </c>
      <c r="H317">
        <v>1</v>
      </c>
      <c r="I317">
        <v>5</v>
      </c>
      <c r="J317">
        <v>1.3</v>
      </c>
    </row>
    <row r="318" spans="1:10" ht="15" customHeight="1">
      <c r="A318">
        <v>3</v>
      </c>
      <c r="B318">
        <v>0.4</v>
      </c>
      <c r="C318">
        <v>3</v>
      </c>
      <c r="D318">
        <v>1</v>
      </c>
      <c r="E318">
        <v>1.5</v>
      </c>
      <c r="F318">
        <v>0.8</v>
      </c>
      <c r="G318">
        <v>2</v>
      </c>
      <c r="H318">
        <v>0.7</v>
      </c>
      <c r="I318">
        <v>10</v>
      </c>
      <c r="J318">
        <v>1</v>
      </c>
    </row>
    <row r="319" spans="1:10" ht="15" customHeight="1">
      <c r="A319">
        <v>4</v>
      </c>
      <c r="B319">
        <v>0.5</v>
      </c>
      <c r="C319">
        <v>4</v>
      </c>
      <c r="D319">
        <v>1.2</v>
      </c>
      <c r="E319">
        <v>2</v>
      </c>
      <c r="F319">
        <v>0.7</v>
      </c>
      <c r="G319">
        <v>3</v>
      </c>
      <c r="H319">
        <v>0.5</v>
      </c>
      <c r="I319">
        <v>20</v>
      </c>
      <c r="J319">
        <v>0.9</v>
      </c>
    </row>
    <row r="320" spans="1:10" ht="15" customHeight="1">
      <c r="A320">
        <v>5</v>
      </c>
      <c r="B320">
        <v>0.7</v>
      </c>
      <c r="C320">
        <v>5</v>
      </c>
      <c r="D320">
        <v>1.3</v>
      </c>
      <c r="E320">
        <v>3</v>
      </c>
      <c r="F320">
        <v>0.6</v>
      </c>
      <c r="I320">
        <v>30</v>
      </c>
      <c r="J320">
        <v>0.8</v>
      </c>
    </row>
    <row r="321" spans="1:6" ht="15" customHeight="1">
      <c r="A321">
        <v>6</v>
      </c>
      <c r="B321">
        <v>0.9</v>
      </c>
      <c r="C321">
        <v>6</v>
      </c>
      <c r="D321">
        <v>1.4</v>
      </c>
      <c r="E321">
        <v>5</v>
      </c>
      <c r="F321">
        <v>0.5</v>
      </c>
    </row>
    <row r="322" spans="1:6" ht="15" customHeight="1">
      <c r="A322">
        <v>7</v>
      </c>
      <c r="B322">
        <v>1.1</v>
      </c>
      <c r="C322">
        <v>8</v>
      </c>
      <c r="D322">
        <v>1.5</v>
      </c>
      <c r="E322">
        <v>7</v>
      </c>
      <c r="F322">
        <v>0.4</v>
      </c>
    </row>
    <row r="323" spans="1:6" ht="15" customHeight="1">
      <c r="A323">
        <v>8</v>
      </c>
      <c r="B323">
        <v>1.3</v>
      </c>
      <c r="C323">
        <v>10</v>
      </c>
      <c r="D323">
        <v>1.6</v>
      </c>
      <c r="E323">
        <v>10</v>
      </c>
      <c r="F323">
        <v>0.3</v>
      </c>
    </row>
    <row r="324" spans="1:4" ht="15" customHeight="1">
      <c r="A324">
        <v>9</v>
      </c>
      <c r="B324">
        <v>1.5</v>
      </c>
      <c r="C324" s="50" t="s">
        <v>325</v>
      </c>
      <c r="D324">
        <v>2</v>
      </c>
    </row>
    <row r="325" spans="1:2" ht="15" customHeight="1">
      <c r="A325">
        <v>10</v>
      </c>
      <c r="B325">
        <v>1.8</v>
      </c>
    </row>
    <row r="327" ht="15" customHeight="1">
      <c r="A327" s="66" t="s">
        <v>170</v>
      </c>
    </row>
    <row r="328" spans="1:4" ht="15" customHeight="1">
      <c r="A328" t="s">
        <v>200</v>
      </c>
      <c r="B328">
        <v>0</v>
      </c>
      <c r="D328">
        <v>1</v>
      </c>
    </row>
    <row r="329" spans="1:4" ht="15" customHeight="1">
      <c r="A329">
        <v>1</v>
      </c>
      <c r="B329">
        <v>0.75</v>
      </c>
      <c r="D329">
        <v>3</v>
      </c>
    </row>
    <row r="330" spans="1:2" ht="15" customHeight="1">
      <c r="A330">
        <v>2</v>
      </c>
      <c r="B330">
        <v>1.25</v>
      </c>
    </row>
    <row r="331" spans="2:9" ht="15" customHeight="1">
      <c r="B331" s="105"/>
      <c r="C331" s="105"/>
      <c r="E331" s="105"/>
      <c r="F331" s="105"/>
      <c r="H331" s="105"/>
      <c r="I331" s="105"/>
    </row>
    <row r="332" spans="2:9" ht="15" customHeight="1">
      <c r="B332" s="105"/>
      <c r="C332" s="105"/>
      <c r="E332" s="105"/>
      <c r="F332" s="105"/>
      <c r="H332" s="105"/>
      <c r="I332" s="105"/>
    </row>
    <row r="333" ht="15" customHeight="1">
      <c r="A333" s="66" t="s">
        <v>171</v>
      </c>
    </row>
    <row r="334" spans="1:3" ht="15" customHeight="1">
      <c r="A334" t="s">
        <v>200</v>
      </c>
      <c r="C334">
        <v>0</v>
      </c>
    </row>
    <row r="335" spans="1:3" ht="15" customHeight="1">
      <c r="A335" t="s">
        <v>171</v>
      </c>
      <c r="C335">
        <v>0.5</v>
      </c>
    </row>
    <row r="336" spans="1:3" ht="15" customHeight="1">
      <c r="A336" t="s">
        <v>326</v>
      </c>
      <c r="C336">
        <v>0.25</v>
      </c>
    </row>
    <row r="337" spans="1:3" ht="15" customHeight="1">
      <c r="A337" t="s">
        <v>327</v>
      </c>
      <c r="C337">
        <v>0.67</v>
      </c>
    </row>
    <row r="339" ht="15" customHeight="1">
      <c r="A339" s="66" t="s">
        <v>172</v>
      </c>
    </row>
    <row r="340" spans="1:2" ht="15" customHeight="1">
      <c r="A340" t="s">
        <v>200</v>
      </c>
      <c r="B340">
        <v>0</v>
      </c>
    </row>
    <row r="341" spans="1:2" ht="15" customHeight="1">
      <c r="A341" t="s">
        <v>328</v>
      </c>
      <c r="B341">
        <v>0.75</v>
      </c>
    </row>
    <row r="342" spans="1:2" ht="15" customHeight="1">
      <c r="A342" t="s">
        <v>329</v>
      </c>
      <c r="B342">
        <v>1.25</v>
      </c>
    </row>
    <row r="344" ht="15" customHeight="1">
      <c r="A344" s="66" t="s">
        <v>330</v>
      </c>
    </row>
    <row r="345" ht="15" customHeight="1">
      <c r="A345" t="s">
        <v>200</v>
      </c>
    </row>
    <row r="346" spans="1:3" ht="15" customHeight="1">
      <c r="A346" t="s">
        <v>331</v>
      </c>
      <c r="C346">
        <v>0.4</v>
      </c>
    </row>
    <row r="347" spans="1:3" ht="15" customHeight="1">
      <c r="A347" t="s">
        <v>332</v>
      </c>
      <c r="C347">
        <v>0.5</v>
      </c>
    </row>
    <row r="348" spans="1:3" ht="15" customHeight="1">
      <c r="A348" t="s">
        <v>333</v>
      </c>
      <c r="C348">
        <v>0.6</v>
      </c>
    </row>
    <row r="349" spans="1:3" ht="15" customHeight="1">
      <c r="A349" t="s">
        <v>334</v>
      </c>
      <c r="C349">
        <v>0.7</v>
      </c>
    </row>
    <row r="350" spans="1:3" ht="15" customHeight="1">
      <c r="A350" t="s">
        <v>335</v>
      </c>
      <c r="C350">
        <v>0.8</v>
      </c>
    </row>
    <row r="351" spans="1:3" ht="15" customHeight="1">
      <c r="A351" t="s">
        <v>336</v>
      </c>
      <c r="C351">
        <v>0.9</v>
      </c>
    </row>
    <row r="352" spans="1:3" ht="15" customHeight="1">
      <c r="A352" t="s">
        <v>337</v>
      </c>
      <c r="C352">
        <v>1</v>
      </c>
    </row>
    <row r="354" spans="1:8" ht="15" customHeight="1">
      <c r="A354" s="66" t="s">
        <v>175</v>
      </c>
      <c r="D354" s="50" t="s">
        <v>4</v>
      </c>
      <c r="E354" s="50" t="s">
        <v>120</v>
      </c>
      <c r="F354" s="50" t="s">
        <v>125</v>
      </c>
      <c r="G354" s="50" t="s">
        <v>177</v>
      </c>
      <c r="H354" s="50" t="s">
        <v>178</v>
      </c>
    </row>
    <row r="355" spans="1:8" ht="15" customHeight="1">
      <c r="A355" t="s">
        <v>347</v>
      </c>
      <c r="C355">
        <v>0.2</v>
      </c>
      <c r="D355">
        <v>-2</v>
      </c>
      <c r="E355">
        <v>1</v>
      </c>
      <c r="F355">
        <v>1</v>
      </c>
      <c r="G355">
        <v>0</v>
      </c>
      <c r="H355">
        <v>0</v>
      </c>
    </row>
    <row r="356" spans="1:8" ht="15" customHeight="1">
      <c r="A356" t="s">
        <v>348</v>
      </c>
      <c r="C356">
        <v>0</v>
      </c>
      <c r="D356">
        <v>0</v>
      </c>
      <c r="E356">
        <v>1</v>
      </c>
      <c r="F356">
        <v>1</v>
      </c>
      <c r="G356">
        <v>0</v>
      </c>
      <c r="H356">
        <v>0</v>
      </c>
    </row>
    <row r="357" spans="1:8" ht="15" customHeight="1">
      <c r="A357" t="s">
        <v>338</v>
      </c>
      <c r="C357">
        <v>0</v>
      </c>
      <c r="D357">
        <v>0</v>
      </c>
      <c r="E357">
        <v>1</v>
      </c>
      <c r="F357">
        <v>1</v>
      </c>
      <c r="G357">
        <v>0</v>
      </c>
      <c r="H357">
        <v>0</v>
      </c>
    </row>
    <row r="358" spans="1:8" ht="15" customHeight="1">
      <c r="A358" t="s">
        <v>343</v>
      </c>
      <c r="C358">
        <v>0.25</v>
      </c>
      <c r="D358">
        <v>-2</v>
      </c>
      <c r="E358">
        <v>1</v>
      </c>
      <c r="F358">
        <v>1</v>
      </c>
      <c r="G358">
        <v>0</v>
      </c>
      <c r="H358">
        <v>0</v>
      </c>
    </row>
    <row r="359" spans="1:8" ht="15" customHeight="1">
      <c r="A359" t="s">
        <v>344</v>
      </c>
      <c r="C359">
        <v>0.3</v>
      </c>
      <c r="D359">
        <v>-1</v>
      </c>
      <c r="E359">
        <v>1</v>
      </c>
      <c r="F359">
        <v>1</v>
      </c>
      <c r="G359">
        <v>0</v>
      </c>
      <c r="H359">
        <v>0</v>
      </c>
    </row>
    <row r="360" spans="1:8" ht="15" customHeight="1">
      <c r="A360" t="s">
        <v>339</v>
      </c>
      <c r="C360">
        <v>0.3</v>
      </c>
      <c r="D360">
        <v>-2</v>
      </c>
      <c r="E360">
        <v>1</v>
      </c>
      <c r="F360">
        <v>2</v>
      </c>
      <c r="G360">
        <v>0</v>
      </c>
      <c r="H360">
        <v>0</v>
      </c>
    </row>
    <row r="361" spans="1:8" ht="15" customHeight="1">
      <c r="A361" t="s">
        <v>340</v>
      </c>
      <c r="C361">
        <v>0.35</v>
      </c>
      <c r="D361">
        <v>-1</v>
      </c>
      <c r="E361">
        <v>1</v>
      </c>
      <c r="F361">
        <v>1.5</v>
      </c>
      <c r="G361">
        <v>0</v>
      </c>
      <c r="H361">
        <v>0</v>
      </c>
    </row>
    <row r="362" spans="1:8" ht="15" customHeight="1">
      <c r="A362" t="s">
        <v>341</v>
      </c>
      <c r="C362">
        <v>0.25</v>
      </c>
      <c r="D362">
        <v>0</v>
      </c>
      <c r="E362">
        <v>1</v>
      </c>
      <c r="F362">
        <v>1</v>
      </c>
      <c r="G362">
        <v>0</v>
      </c>
      <c r="H362">
        <v>6</v>
      </c>
    </row>
    <row r="363" spans="1:8" ht="15" customHeight="1">
      <c r="A363" t="s">
        <v>350</v>
      </c>
      <c r="C363">
        <v>0.35</v>
      </c>
      <c r="D363">
        <v>-1</v>
      </c>
      <c r="E363">
        <v>1</v>
      </c>
      <c r="F363">
        <v>1</v>
      </c>
      <c r="G363">
        <v>0</v>
      </c>
      <c r="H363">
        <v>6</v>
      </c>
    </row>
    <row r="364" spans="1:8" ht="15" customHeight="1">
      <c r="A364" t="s">
        <v>342</v>
      </c>
      <c r="C364">
        <v>0.3</v>
      </c>
      <c r="D364">
        <v>-1</v>
      </c>
      <c r="E364">
        <v>1</v>
      </c>
      <c r="F364">
        <v>1</v>
      </c>
      <c r="G364">
        <v>0</v>
      </c>
      <c r="H364">
        <v>0</v>
      </c>
    </row>
    <row r="365" spans="1:8" ht="15" customHeight="1">
      <c r="A365" t="s">
        <v>345</v>
      </c>
      <c r="C365">
        <v>0.25</v>
      </c>
      <c r="D365">
        <v>-1</v>
      </c>
      <c r="E365">
        <v>1</v>
      </c>
      <c r="F365">
        <v>1</v>
      </c>
      <c r="G365">
        <v>5</v>
      </c>
      <c r="H365">
        <v>0</v>
      </c>
    </row>
    <row r="366" spans="1:8" ht="15" customHeight="1">
      <c r="A366" t="s">
        <v>346</v>
      </c>
      <c r="C366">
        <v>0.35</v>
      </c>
      <c r="D366">
        <v>0</v>
      </c>
      <c r="E366">
        <v>1</v>
      </c>
      <c r="F366">
        <v>1</v>
      </c>
      <c r="G366">
        <v>5</v>
      </c>
      <c r="H366">
        <v>0</v>
      </c>
    </row>
    <row r="367" spans="1:8" ht="15" customHeight="1">
      <c r="A367" t="s">
        <v>349</v>
      </c>
      <c r="C367">
        <v>0.3</v>
      </c>
      <c r="D367">
        <v>-1</v>
      </c>
      <c r="E367">
        <v>1</v>
      </c>
      <c r="F367">
        <v>1</v>
      </c>
      <c r="G367">
        <v>2</v>
      </c>
      <c r="H367">
        <v>0</v>
      </c>
    </row>
    <row r="368" ht="15" customHeight="1">
      <c r="A368" t="s">
        <v>200</v>
      </c>
    </row>
    <row r="369" ht="15" customHeight="1">
      <c r="A369" s="66"/>
    </row>
    <row r="370" spans="2:3" ht="15" customHeight="1">
      <c r="B370" t="s">
        <v>351</v>
      </c>
      <c r="C370">
        <v>60</v>
      </c>
    </row>
    <row r="371" spans="2:3" ht="15" customHeight="1">
      <c r="B371" t="s">
        <v>120</v>
      </c>
      <c r="C371" s="51">
        <f>6-(INT(C370/20))</f>
        <v>3</v>
      </c>
    </row>
    <row r="373" ht="15" customHeight="1">
      <c r="A373" s="66" t="s">
        <v>352</v>
      </c>
    </row>
    <row r="374" spans="1:2" ht="15" customHeight="1">
      <c r="A374" s="65">
        <v>0</v>
      </c>
      <c r="B374" s="70" t="s">
        <v>353</v>
      </c>
    </row>
    <row r="375" spans="1:2" ht="15" customHeight="1">
      <c r="A375">
        <v>1</v>
      </c>
      <c r="B375" s="70" t="s">
        <v>354</v>
      </c>
    </row>
    <row r="376" spans="1:2" ht="15" customHeight="1">
      <c r="A376">
        <v>2</v>
      </c>
      <c r="B376" s="70" t="s">
        <v>355</v>
      </c>
    </row>
    <row r="377" spans="1:2" ht="15" customHeight="1">
      <c r="A377">
        <v>3</v>
      </c>
      <c r="B377" s="70" t="s">
        <v>356</v>
      </c>
    </row>
    <row r="378" spans="1:2" ht="15" customHeight="1">
      <c r="A378">
        <v>4</v>
      </c>
      <c r="B378" s="70" t="s">
        <v>357</v>
      </c>
    </row>
    <row r="379" spans="1:2" ht="15" customHeight="1">
      <c r="A379">
        <v>5</v>
      </c>
      <c r="B379" s="70" t="s">
        <v>358</v>
      </c>
    </row>
    <row r="380" spans="1:2" ht="15" customHeight="1">
      <c r="A380">
        <v>6</v>
      </c>
      <c r="B380" s="70" t="s">
        <v>359</v>
      </c>
    </row>
    <row r="381" spans="1:2" ht="15" customHeight="1">
      <c r="A381">
        <v>7</v>
      </c>
      <c r="B381" s="70" t="s">
        <v>360</v>
      </c>
    </row>
    <row r="382" spans="1:2" ht="15" customHeight="1">
      <c r="A382">
        <v>8</v>
      </c>
      <c r="B382" s="70" t="s">
        <v>361</v>
      </c>
    </row>
    <row r="383" spans="1:2" ht="15" customHeight="1">
      <c r="A383">
        <v>9</v>
      </c>
      <c r="B383" s="70" t="s">
        <v>362</v>
      </c>
    </row>
    <row r="384" spans="1:2" ht="15" customHeight="1">
      <c r="A384">
        <v>10</v>
      </c>
      <c r="B384" s="70" t="s">
        <v>363</v>
      </c>
    </row>
    <row r="385" spans="1:2" ht="15" customHeight="1">
      <c r="A385">
        <v>11</v>
      </c>
      <c r="B385" s="70" t="s">
        <v>364</v>
      </c>
    </row>
    <row r="386" spans="1:2" ht="15" customHeight="1">
      <c r="A386">
        <v>12</v>
      </c>
      <c r="B386" s="70" t="s">
        <v>365</v>
      </c>
    </row>
    <row r="387" spans="1:2" ht="15" customHeight="1">
      <c r="A387">
        <v>13</v>
      </c>
      <c r="B387" s="70" t="s">
        <v>366</v>
      </c>
    </row>
    <row r="388" spans="1:2" ht="15" customHeight="1">
      <c r="A388">
        <v>14</v>
      </c>
      <c r="B388" s="70" t="s">
        <v>367</v>
      </c>
    </row>
    <row r="389" spans="1:2" ht="15" customHeight="1">
      <c r="A389">
        <v>15</v>
      </c>
      <c r="B389" s="70" t="s">
        <v>368</v>
      </c>
    </row>
    <row r="390" spans="1:2" ht="15" customHeight="1">
      <c r="A390">
        <v>16</v>
      </c>
      <c r="B390" s="70" t="s">
        <v>369</v>
      </c>
    </row>
    <row r="391" spans="1:2" ht="15" customHeight="1">
      <c r="A391">
        <v>17</v>
      </c>
      <c r="B391" s="70" t="s">
        <v>370</v>
      </c>
    </row>
    <row r="392" spans="1:2" ht="15" customHeight="1">
      <c r="A392">
        <v>18</v>
      </c>
      <c r="B392" s="70" t="s">
        <v>371</v>
      </c>
    </row>
    <row r="393" spans="1:2" ht="15" customHeight="1">
      <c r="A393">
        <v>19</v>
      </c>
      <c r="B393" s="70" t="s">
        <v>372</v>
      </c>
    </row>
    <row r="394" spans="1:2" ht="15" customHeight="1">
      <c r="A394">
        <v>20</v>
      </c>
      <c r="B394" s="70" t="s">
        <v>373</v>
      </c>
    </row>
    <row r="395" spans="1:2" ht="15" customHeight="1">
      <c r="A395">
        <v>21</v>
      </c>
      <c r="B395" s="70" t="s">
        <v>374</v>
      </c>
    </row>
    <row r="396" spans="1:2" ht="15" customHeight="1">
      <c r="A396">
        <v>22</v>
      </c>
      <c r="B396" s="70" t="s">
        <v>375</v>
      </c>
    </row>
    <row r="399" spans="1:5" ht="15" customHeight="1">
      <c r="A399" s="66" t="s">
        <v>376</v>
      </c>
      <c r="D399" t="s">
        <v>377</v>
      </c>
      <c r="E399" t="s">
        <v>91</v>
      </c>
    </row>
    <row r="400" spans="2:5" ht="15" customHeight="1">
      <c r="B400">
        <v>1</v>
      </c>
      <c r="D400">
        <v>1</v>
      </c>
      <c r="E400">
        <v>1</v>
      </c>
    </row>
    <row r="401" spans="2:5" ht="15" customHeight="1">
      <c r="B401">
        <v>1</v>
      </c>
      <c r="D401">
        <v>1</v>
      </c>
      <c r="E401">
        <v>1.33</v>
      </c>
    </row>
    <row r="402" spans="2:5" ht="15" customHeight="1">
      <c r="B402">
        <v>1.33</v>
      </c>
      <c r="D402">
        <v>1.33</v>
      </c>
      <c r="E402">
        <v>1.67</v>
      </c>
    </row>
    <row r="403" spans="2:5" ht="15" customHeight="1">
      <c r="B403">
        <v>1.67</v>
      </c>
      <c r="D403">
        <v>1.67</v>
      </c>
      <c r="E403">
        <v>2</v>
      </c>
    </row>
    <row r="404" ht="15" customHeight="1">
      <c r="D404">
        <v>1.5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62"/>
  <sheetViews>
    <sheetView zoomScalePageLayoutView="0" workbookViewId="0" topLeftCell="A7">
      <selection activeCell="A7" sqref="A1:IV16384"/>
    </sheetView>
  </sheetViews>
  <sheetFormatPr defaultColWidth="9.140625" defaultRowHeight="15" customHeight="1"/>
  <cols>
    <col min="2" max="2" width="36.7109375" style="0" customWidth="1"/>
    <col min="3" max="3" width="4.140625" style="0" customWidth="1"/>
    <col min="4" max="4" width="6.28125" style="0" customWidth="1"/>
    <col min="5" max="5" width="7.8515625" style="0" customWidth="1"/>
    <col min="6" max="6" width="5.8515625" style="0" customWidth="1"/>
    <col min="7" max="7" width="4.7109375" style="0" customWidth="1"/>
    <col min="8" max="8" width="5.7109375" style="0" bestFit="1" customWidth="1"/>
    <col min="9" max="9" width="12.00390625" style="0" bestFit="1" customWidth="1"/>
    <col min="10" max="10" width="6.28125" style="0" customWidth="1"/>
    <col min="11" max="11" width="10.8515625" style="0" customWidth="1"/>
    <col min="12" max="12" width="11.8515625" style="0" customWidth="1"/>
    <col min="13" max="13" width="45.421875" style="0" customWidth="1"/>
  </cols>
  <sheetData>
    <row r="1" spans="1:13" ht="15" customHeight="1">
      <c r="A1" t="s">
        <v>29</v>
      </c>
      <c r="B1" s="66" t="s">
        <v>378</v>
      </c>
      <c r="C1" t="s">
        <v>187</v>
      </c>
      <c r="D1" t="s">
        <v>185</v>
      </c>
      <c r="E1" t="s">
        <v>379</v>
      </c>
      <c r="F1" t="s">
        <v>189</v>
      </c>
      <c r="G1" t="s">
        <v>26</v>
      </c>
      <c r="H1" t="s">
        <v>188</v>
      </c>
      <c r="I1" t="s">
        <v>24</v>
      </c>
      <c r="J1" t="s">
        <v>25</v>
      </c>
      <c r="K1" t="s">
        <v>380</v>
      </c>
      <c r="L1" t="s">
        <v>381</v>
      </c>
      <c r="M1" t="s">
        <v>382</v>
      </c>
    </row>
    <row r="3" spans="1:2" ht="15" customHeight="1">
      <c r="A3" t="s">
        <v>383</v>
      </c>
      <c r="B3" t="s">
        <v>384</v>
      </c>
    </row>
    <row r="4" spans="1:12" ht="15" customHeight="1">
      <c r="A4" t="s">
        <v>385</v>
      </c>
      <c r="B4" t="s">
        <v>386</v>
      </c>
      <c r="C4">
        <v>2</v>
      </c>
      <c r="D4">
        <v>8</v>
      </c>
      <c r="E4">
        <v>4</v>
      </c>
      <c r="F4" t="s">
        <v>325</v>
      </c>
      <c r="G4">
        <v>4</v>
      </c>
      <c r="H4">
        <v>1</v>
      </c>
      <c r="I4">
        <v>9</v>
      </c>
      <c r="J4">
        <v>9</v>
      </c>
      <c r="K4">
        <v>0</v>
      </c>
      <c r="L4">
        <v>0</v>
      </c>
    </row>
    <row r="5" spans="1:12" ht="15" customHeight="1">
      <c r="A5" t="s">
        <v>385</v>
      </c>
      <c r="B5" t="s">
        <v>387</v>
      </c>
      <c r="C5">
        <v>-1</v>
      </c>
      <c r="D5">
        <v>4</v>
      </c>
      <c r="E5">
        <v>2</v>
      </c>
      <c r="F5" t="s">
        <v>325</v>
      </c>
      <c r="G5">
        <v>2</v>
      </c>
      <c r="H5" t="s">
        <v>325</v>
      </c>
      <c r="I5">
        <v>15</v>
      </c>
      <c r="J5">
        <v>6</v>
      </c>
      <c r="K5">
        <v>0</v>
      </c>
      <c r="L5">
        <v>0</v>
      </c>
    </row>
    <row r="6" spans="1:12" ht="15" customHeight="1">
      <c r="A6" t="s">
        <v>385</v>
      </c>
      <c r="B6" t="s">
        <v>388</v>
      </c>
      <c r="C6">
        <v>0</v>
      </c>
      <c r="D6">
        <v>17</v>
      </c>
      <c r="E6">
        <v>12</v>
      </c>
      <c r="F6">
        <v>10</v>
      </c>
      <c r="G6">
        <v>12</v>
      </c>
      <c r="H6">
        <v>1</v>
      </c>
      <c r="I6">
        <v>15</v>
      </c>
      <c r="J6">
        <v>15</v>
      </c>
      <c r="K6">
        <v>1.5</v>
      </c>
      <c r="L6">
        <v>10</v>
      </c>
    </row>
    <row r="7" spans="1:12" ht="15" customHeight="1">
      <c r="A7" t="s">
        <v>385</v>
      </c>
      <c r="B7" t="s">
        <v>389</v>
      </c>
      <c r="C7">
        <v>2</v>
      </c>
      <c r="D7">
        <v>8</v>
      </c>
      <c r="E7">
        <v>8</v>
      </c>
      <c r="F7" t="s">
        <v>325</v>
      </c>
      <c r="G7">
        <v>8</v>
      </c>
      <c r="H7">
        <v>1</v>
      </c>
      <c r="I7">
        <v>16</v>
      </c>
      <c r="J7">
        <v>15</v>
      </c>
      <c r="K7">
        <v>0</v>
      </c>
      <c r="L7">
        <v>0</v>
      </c>
    </row>
    <row r="8" spans="1:12" ht="15" customHeight="1">
      <c r="A8" t="s">
        <v>385</v>
      </c>
      <c r="B8" t="s">
        <v>390</v>
      </c>
      <c r="C8">
        <v>1</v>
      </c>
      <c r="D8">
        <v>10</v>
      </c>
      <c r="E8">
        <v>6</v>
      </c>
      <c r="F8" t="s">
        <v>325</v>
      </c>
      <c r="G8">
        <v>6</v>
      </c>
      <c r="H8">
        <v>1</v>
      </c>
      <c r="I8">
        <v>9</v>
      </c>
      <c r="J8">
        <v>9</v>
      </c>
      <c r="K8">
        <v>0</v>
      </c>
      <c r="L8">
        <v>0</v>
      </c>
    </row>
    <row r="9" spans="1:12" ht="15" customHeight="1">
      <c r="A9" t="s">
        <v>385</v>
      </c>
      <c r="B9" t="s">
        <v>391</v>
      </c>
      <c r="C9">
        <v>1</v>
      </c>
      <c r="D9">
        <v>4</v>
      </c>
      <c r="E9">
        <v>1</v>
      </c>
      <c r="F9" t="s">
        <v>325</v>
      </c>
      <c r="G9">
        <v>1</v>
      </c>
      <c r="H9">
        <v>1</v>
      </c>
      <c r="I9">
        <v>2</v>
      </c>
      <c r="J9">
        <v>1</v>
      </c>
      <c r="K9">
        <v>0</v>
      </c>
      <c r="L9">
        <v>0</v>
      </c>
    </row>
    <row r="10" spans="1:12" ht="15" customHeight="1">
      <c r="A10" t="s">
        <v>385</v>
      </c>
      <c r="B10" t="s">
        <v>392</v>
      </c>
      <c r="C10">
        <v>1</v>
      </c>
      <c r="D10">
        <v>7</v>
      </c>
      <c r="E10">
        <v>3</v>
      </c>
      <c r="F10" t="s">
        <v>325</v>
      </c>
      <c r="G10">
        <v>3</v>
      </c>
      <c r="H10">
        <v>1</v>
      </c>
      <c r="I10">
        <v>5</v>
      </c>
      <c r="J10">
        <v>4</v>
      </c>
      <c r="K10">
        <v>0</v>
      </c>
      <c r="L10">
        <v>0</v>
      </c>
    </row>
    <row r="11" spans="1:13" ht="15" customHeight="1">
      <c r="A11" t="s">
        <v>385</v>
      </c>
      <c r="B11" t="s">
        <v>393</v>
      </c>
      <c r="C11">
        <v>1</v>
      </c>
      <c r="D11">
        <v>15</v>
      </c>
      <c r="E11">
        <v>15</v>
      </c>
      <c r="F11">
        <v>1</v>
      </c>
      <c r="G11">
        <v>1</v>
      </c>
      <c r="H11">
        <v>1</v>
      </c>
      <c r="I11">
        <v>29</v>
      </c>
      <c r="J11">
        <v>10</v>
      </c>
      <c r="K11">
        <v>0</v>
      </c>
      <c r="L11">
        <v>0</v>
      </c>
      <c r="M11" t="s">
        <v>394</v>
      </c>
    </row>
    <row r="12" spans="1:13" ht="15" customHeight="1">
      <c r="A12" t="s">
        <v>385</v>
      </c>
      <c r="B12" t="s">
        <v>395</v>
      </c>
      <c r="C12">
        <v>0</v>
      </c>
      <c r="D12">
        <v>8</v>
      </c>
      <c r="E12">
        <v>4</v>
      </c>
      <c r="F12" t="s">
        <v>325</v>
      </c>
      <c r="G12">
        <v>4</v>
      </c>
      <c r="H12">
        <v>6</v>
      </c>
      <c r="I12">
        <v>20</v>
      </c>
      <c r="J12">
        <v>11</v>
      </c>
      <c r="K12">
        <v>0</v>
      </c>
      <c r="L12">
        <v>0</v>
      </c>
      <c r="M12" t="s">
        <v>396</v>
      </c>
    </row>
    <row r="13" spans="1:12" ht="15" customHeight="1">
      <c r="A13" t="s">
        <v>397</v>
      </c>
      <c r="B13" t="s">
        <v>398</v>
      </c>
      <c r="C13">
        <v>-2</v>
      </c>
      <c r="D13">
        <v>4</v>
      </c>
      <c r="E13">
        <v>2</v>
      </c>
      <c r="F13">
        <v>10</v>
      </c>
      <c r="G13">
        <v>2</v>
      </c>
      <c r="H13">
        <v>8</v>
      </c>
      <c r="I13">
        <v>6</v>
      </c>
      <c r="J13">
        <v>5</v>
      </c>
      <c r="K13">
        <v>0.6</v>
      </c>
      <c r="L13">
        <v>10</v>
      </c>
    </row>
    <row r="14" spans="1:13" ht="15" customHeight="1">
      <c r="A14" t="s">
        <v>397</v>
      </c>
      <c r="B14" t="s">
        <v>399</v>
      </c>
      <c r="C14">
        <v>2</v>
      </c>
      <c r="D14">
        <v>5</v>
      </c>
      <c r="E14">
        <v>0</v>
      </c>
      <c r="F14">
        <v>3</v>
      </c>
      <c r="G14">
        <v>6</v>
      </c>
      <c r="H14">
        <v>1</v>
      </c>
      <c r="I14">
        <v>12</v>
      </c>
      <c r="J14">
        <v>7</v>
      </c>
      <c r="K14">
        <v>0.36</v>
      </c>
      <c r="L14">
        <v>3</v>
      </c>
      <c r="M14" t="s">
        <v>400</v>
      </c>
    </row>
    <row r="15" spans="1:12" ht="15" customHeight="1">
      <c r="A15" t="s">
        <v>397</v>
      </c>
      <c r="B15" t="s">
        <v>401</v>
      </c>
      <c r="C15">
        <v>-1</v>
      </c>
      <c r="D15">
        <v>7</v>
      </c>
      <c r="E15">
        <v>6</v>
      </c>
      <c r="F15">
        <v>10</v>
      </c>
      <c r="G15">
        <v>6</v>
      </c>
      <c r="H15">
        <v>4</v>
      </c>
      <c r="I15">
        <v>13</v>
      </c>
      <c r="J15">
        <v>10</v>
      </c>
      <c r="K15">
        <v>1.3</v>
      </c>
      <c r="L15">
        <v>10</v>
      </c>
    </row>
    <row r="16" spans="1:12" ht="15" customHeight="1">
      <c r="A16" t="s">
        <v>397</v>
      </c>
      <c r="B16" t="s">
        <v>402</v>
      </c>
      <c r="C16">
        <v>0</v>
      </c>
      <c r="D16">
        <v>9</v>
      </c>
      <c r="E16">
        <v>9</v>
      </c>
      <c r="F16">
        <v>10</v>
      </c>
      <c r="G16">
        <v>9</v>
      </c>
      <c r="H16">
        <v>1</v>
      </c>
      <c r="I16">
        <v>9</v>
      </c>
      <c r="J16">
        <v>9</v>
      </c>
      <c r="K16">
        <v>0.9</v>
      </c>
      <c r="L16">
        <v>10</v>
      </c>
    </row>
    <row r="17" spans="1:12" ht="15" customHeight="1">
      <c r="A17" t="s">
        <v>397</v>
      </c>
      <c r="B17" t="s">
        <v>403</v>
      </c>
      <c r="C17">
        <v>0</v>
      </c>
      <c r="D17">
        <v>5</v>
      </c>
      <c r="E17">
        <v>2</v>
      </c>
      <c r="F17">
        <v>10</v>
      </c>
      <c r="G17">
        <v>3</v>
      </c>
      <c r="H17">
        <v>1</v>
      </c>
      <c r="I17">
        <v>4</v>
      </c>
      <c r="J17">
        <v>4</v>
      </c>
      <c r="K17">
        <v>0.4</v>
      </c>
      <c r="L17">
        <v>10</v>
      </c>
    </row>
    <row r="18" spans="1:12" ht="15" customHeight="1">
      <c r="A18" t="s">
        <v>397</v>
      </c>
      <c r="B18" t="s">
        <v>404</v>
      </c>
      <c r="C18">
        <v>0</v>
      </c>
      <c r="D18">
        <v>7</v>
      </c>
      <c r="E18">
        <v>6</v>
      </c>
      <c r="F18">
        <v>10</v>
      </c>
      <c r="G18">
        <v>6</v>
      </c>
      <c r="H18">
        <v>1</v>
      </c>
      <c r="I18">
        <v>6</v>
      </c>
      <c r="J18">
        <v>6</v>
      </c>
      <c r="K18">
        <v>0.6</v>
      </c>
      <c r="L18">
        <v>10</v>
      </c>
    </row>
    <row r="19" spans="1:13" ht="15" customHeight="1">
      <c r="A19" t="s">
        <v>405</v>
      </c>
      <c r="B19" t="s">
        <v>406</v>
      </c>
      <c r="C19">
        <v>0</v>
      </c>
      <c r="D19">
        <v>1</v>
      </c>
      <c r="E19" s="51">
        <f>2+'Mecha Design'!J142+'Mecha Design'!$G$17</f>
        <v>2</v>
      </c>
      <c r="F19" t="s">
        <v>325</v>
      </c>
      <c r="G19">
        <v>2</v>
      </c>
      <c r="H19">
        <v>1</v>
      </c>
      <c r="I19">
        <v>4</v>
      </c>
      <c r="J19">
        <v>1</v>
      </c>
      <c r="K19">
        <v>0</v>
      </c>
      <c r="L19">
        <v>0</v>
      </c>
      <c r="M19" t="s">
        <v>407</v>
      </c>
    </row>
    <row r="20" spans="1:13" ht="15" customHeight="1">
      <c r="A20" t="s">
        <v>405</v>
      </c>
      <c r="B20" t="s">
        <v>405</v>
      </c>
      <c r="C20">
        <v>0</v>
      </c>
      <c r="D20">
        <v>1</v>
      </c>
      <c r="E20" s="51">
        <f>1+'Mecha Design'!J143+'Mecha Design'!$G$17</f>
        <v>1</v>
      </c>
      <c r="F20" t="s">
        <v>325</v>
      </c>
      <c r="G20">
        <v>1</v>
      </c>
      <c r="H20">
        <v>1</v>
      </c>
      <c r="I20">
        <v>2</v>
      </c>
      <c r="J20">
        <v>1</v>
      </c>
      <c r="K20">
        <v>0</v>
      </c>
      <c r="L20">
        <v>0</v>
      </c>
      <c r="M20" t="s">
        <v>407</v>
      </c>
    </row>
    <row r="21" spans="1:12" ht="15" customHeight="1">
      <c r="A21" t="s">
        <v>405</v>
      </c>
      <c r="B21" t="s">
        <v>408</v>
      </c>
      <c r="C21">
        <v>0</v>
      </c>
      <c r="D21">
        <v>1</v>
      </c>
      <c r="E21" s="51">
        <f>3+'Mecha Design'!J144+'Mecha Design'!$G$17</f>
        <v>3</v>
      </c>
      <c r="F21" t="s">
        <v>325</v>
      </c>
      <c r="G21">
        <v>3</v>
      </c>
      <c r="H21">
        <v>1</v>
      </c>
      <c r="I21">
        <v>2</v>
      </c>
      <c r="J21">
        <v>1</v>
      </c>
      <c r="K21">
        <v>0</v>
      </c>
      <c r="L21">
        <v>0</v>
      </c>
    </row>
    <row r="22" spans="1:12" ht="15" customHeight="1">
      <c r="A22" t="s">
        <v>405</v>
      </c>
      <c r="B22" t="s">
        <v>409</v>
      </c>
      <c r="C22">
        <v>0</v>
      </c>
      <c r="D22">
        <v>1</v>
      </c>
      <c r="E22" s="51">
        <f>2+'Mecha Design'!J145+'Mecha Design'!$G$17</f>
        <v>2</v>
      </c>
      <c r="F22" t="s">
        <v>325</v>
      </c>
      <c r="G22">
        <v>2</v>
      </c>
      <c r="H22">
        <v>1</v>
      </c>
      <c r="I22">
        <v>1</v>
      </c>
      <c r="J22">
        <v>1</v>
      </c>
      <c r="K22">
        <v>0</v>
      </c>
      <c r="L22">
        <v>0</v>
      </c>
    </row>
    <row r="23" spans="1:12" ht="15" customHeight="1">
      <c r="A23" t="s">
        <v>410</v>
      </c>
      <c r="B23" t="s">
        <v>411</v>
      </c>
      <c r="C23">
        <v>0</v>
      </c>
      <c r="D23">
        <v>1</v>
      </c>
      <c r="E23">
        <v>6</v>
      </c>
      <c r="F23" t="s">
        <v>325</v>
      </c>
      <c r="G23">
        <v>6</v>
      </c>
      <c r="H23">
        <v>1</v>
      </c>
      <c r="I23">
        <v>3</v>
      </c>
      <c r="J23">
        <v>3</v>
      </c>
      <c r="K23">
        <v>0</v>
      </c>
      <c r="L23">
        <v>0</v>
      </c>
    </row>
    <row r="24" spans="1:12" ht="15" customHeight="1">
      <c r="A24" t="s">
        <v>410</v>
      </c>
      <c r="B24" t="s">
        <v>412</v>
      </c>
      <c r="C24">
        <v>-1</v>
      </c>
      <c r="D24">
        <v>1</v>
      </c>
      <c r="E24" s="50" t="s">
        <v>413</v>
      </c>
      <c r="F24" t="s">
        <v>325</v>
      </c>
      <c r="G24">
        <v>4</v>
      </c>
      <c r="H24">
        <v>1</v>
      </c>
      <c r="I24">
        <v>3</v>
      </c>
      <c r="J24">
        <v>3</v>
      </c>
      <c r="K24">
        <v>0</v>
      </c>
      <c r="L24">
        <v>0</v>
      </c>
    </row>
    <row r="25" spans="1:12" ht="15" customHeight="1">
      <c r="A25" t="s">
        <v>410</v>
      </c>
      <c r="B25" t="s">
        <v>414</v>
      </c>
      <c r="C25">
        <v>0</v>
      </c>
      <c r="D25">
        <v>1</v>
      </c>
      <c r="E25">
        <v>7</v>
      </c>
      <c r="F25" t="s">
        <v>325</v>
      </c>
      <c r="G25">
        <v>2</v>
      </c>
      <c r="H25">
        <v>1</v>
      </c>
      <c r="I25">
        <v>6</v>
      </c>
      <c r="J25">
        <v>6</v>
      </c>
      <c r="K25">
        <v>0</v>
      </c>
      <c r="L25">
        <v>0</v>
      </c>
    </row>
    <row r="26" spans="1:12" ht="15" customHeight="1">
      <c r="A26" t="s">
        <v>410</v>
      </c>
      <c r="B26" t="s">
        <v>415</v>
      </c>
      <c r="C26">
        <v>2</v>
      </c>
      <c r="D26">
        <v>1</v>
      </c>
      <c r="E26">
        <v>8</v>
      </c>
      <c r="F26" t="s">
        <v>325</v>
      </c>
      <c r="G26">
        <v>2</v>
      </c>
      <c r="H26">
        <v>1</v>
      </c>
      <c r="I26">
        <v>14</v>
      </c>
      <c r="J26">
        <v>8</v>
      </c>
      <c r="K26">
        <v>0</v>
      </c>
      <c r="L26">
        <v>0</v>
      </c>
    </row>
    <row r="27" spans="1:12" ht="15" customHeight="1">
      <c r="A27" t="s">
        <v>410</v>
      </c>
      <c r="B27" t="s">
        <v>416</v>
      </c>
      <c r="C27">
        <v>1</v>
      </c>
      <c r="D27">
        <v>1</v>
      </c>
      <c r="E27">
        <v>6</v>
      </c>
      <c r="F27" t="s">
        <v>325</v>
      </c>
      <c r="G27">
        <v>2</v>
      </c>
      <c r="H27">
        <v>1</v>
      </c>
      <c r="I27">
        <v>6</v>
      </c>
      <c r="J27">
        <v>6</v>
      </c>
      <c r="K27">
        <v>0</v>
      </c>
      <c r="L27">
        <v>0</v>
      </c>
    </row>
    <row r="28" spans="1:12" ht="15" customHeight="1">
      <c r="A28" t="s">
        <v>410</v>
      </c>
      <c r="B28" t="s">
        <v>417</v>
      </c>
      <c r="C28">
        <v>0</v>
      </c>
      <c r="D28">
        <v>1</v>
      </c>
      <c r="E28">
        <v>8</v>
      </c>
      <c r="F28" t="s">
        <v>325</v>
      </c>
      <c r="G28">
        <v>8</v>
      </c>
      <c r="H28">
        <v>1</v>
      </c>
      <c r="I28">
        <v>4</v>
      </c>
      <c r="J28">
        <v>4</v>
      </c>
      <c r="K28">
        <v>0</v>
      </c>
      <c r="L28">
        <v>0</v>
      </c>
    </row>
    <row r="29" spans="1:12" ht="15" customHeight="1">
      <c r="A29" t="s">
        <v>410</v>
      </c>
      <c r="B29" t="s">
        <v>418</v>
      </c>
      <c r="C29">
        <v>3</v>
      </c>
      <c r="D29">
        <v>1</v>
      </c>
      <c r="E29">
        <v>15</v>
      </c>
      <c r="F29">
        <v>2</v>
      </c>
      <c r="G29">
        <v>4</v>
      </c>
      <c r="H29">
        <v>1</v>
      </c>
      <c r="I29">
        <v>14</v>
      </c>
      <c r="J29">
        <v>8</v>
      </c>
      <c r="K29">
        <v>0</v>
      </c>
      <c r="L29">
        <v>0</v>
      </c>
    </row>
    <row r="30" spans="1:12" ht="15" customHeight="1">
      <c r="A30" t="s">
        <v>410</v>
      </c>
      <c r="B30" t="s">
        <v>419</v>
      </c>
      <c r="C30">
        <v>-1</v>
      </c>
      <c r="D30">
        <v>1</v>
      </c>
      <c r="E30" s="50" t="s">
        <v>420</v>
      </c>
      <c r="F30" t="s">
        <v>325</v>
      </c>
      <c r="G30">
        <v>6</v>
      </c>
      <c r="H30">
        <v>1</v>
      </c>
      <c r="I30">
        <v>5</v>
      </c>
      <c r="J30">
        <v>5</v>
      </c>
      <c r="K30">
        <v>0</v>
      </c>
      <c r="L30">
        <v>0</v>
      </c>
    </row>
    <row r="31" spans="1:13" ht="15" customHeight="1">
      <c r="A31" t="s">
        <v>410</v>
      </c>
      <c r="B31" t="s">
        <v>421</v>
      </c>
      <c r="C31">
        <v>-2</v>
      </c>
      <c r="D31">
        <v>1</v>
      </c>
      <c r="E31">
        <v>2</v>
      </c>
      <c r="F31" t="s">
        <v>325</v>
      </c>
      <c r="G31">
        <v>2</v>
      </c>
      <c r="H31">
        <v>1</v>
      </c>
      <c r="I31">
        <v>4</v>
      </c>
      <c r="J31">
        <v>4</v>
      </c>
      <c r="K31">
        <v>0</v>
      </c>
      <c r="L31">
        <v>0</v>
      </c>
      <c r="M31" t="s">
        <v>422</v>
      </c>
    </row>
    <row r="32" spans="1:12" ht="15" customHeight="1">
      <c r="A32" t="s">
        <v>410</v>
      </c>
      <c r="B32" t="s">
        <v>423</v>
      </c>
      <c r="C32">
        <v>1</v>
      </c>
      <c r="D32">
        <v>1</v>
      </c>
      <c r="E32">
        <v>5</v>
      </c>
      <c r="F32" t="s">
        <v>325</v>
      </c>
      <c r="G32">
        <v>5</v>
      </c>
      <c r="H32">
        <v>1</v>
      </c>
      <c r="I32">
        <v>4</v>
      </c>
      <c r="J32">
        <v>4</v>
      </c>
      <c r="K32">
        <v>0</v>
      </c>
      <c r="L32">
        <v>0</v>
      </c>
    </row>
    <row r="33" spans="1:12" ht="15" customHeight="1">
      <c r="A33" t="s">
        <v>424</v>
      </c>
      <c r="B33" t="s">
        <v>425</v>
      </c>
      <c r="C33">
        <v>2</v>
      </c>
      <c r="D33">
        <v>24</v>
      </c>
      <c r="E33">
        <v>12</v>
      </c>
      <c r="F33">
        <v>1</v>
      </c>
      <c r="G33">
        <v>1</v>
      </c>
      <c r="H33" s="50" t="s">
        <v>426</v>
      </c>
      <c r="I33">
        <v>3</v>
      </c>
      <c r="J33">
        <v>3</v>
      </c>
      <c r="K33">
        <v>0</v>
      </c>
      <c r="L33">
        <v>0</v>
      </c>
    </row>
    <row r="34" spans="1:12" ht="15" customHeight="1">
      <c r="A34" t="s">
        <v>424</v>
      </c>
      <c r="B34" t="s">
        <v>427</v>
      </c>
      <c r="C34">
        <v>1</v>
      </c>
      <c r="D34">
        <v>13</v>
      </c>
      <c r="E34">
        <v>6</v>
      </c>
      <c r="F34">
        <v>5</v>
      </c>
      <c r="G34">
        <v>2</v>
      </c>
      <c r="H34" s="50" t="s">
        <v>426</v>
      </c>
      <c r="I34">
        <v>5</v>
      </c>
      <c r="J34">
        <v>5</v>
      </c>
      <c r="K34">
        <v>0</v>
      </c>
      <c r="L34">
        <v>0</v>
      </c>
    </row>
    <row r="35" spans="1:12" ht="15" customHeight="1">
      <c r="A35" t="s">
        <v>424</v>
      </c>
      <c r="B35" t="s">
        <v>428</v>
      </c>
      <c r="C35">
        <v>0</v>
      </c>
      <c r="D35">
        <v>7</v>
      </c>
      <c r="E35">
        <v>4</v>
      </c>
      <c r="F35">
        <v>10</v>
      </c>
      <c r="G35">
        <v>3</v>
      </c>
      <c r="H35" s="50" t="s">
        <v>426</v>
      </c>
      <c r="I35">
        <v>4</v>
      </c>
      <c r="J35">
        <v>4</v>
      </c>
      <c r="K35">
        <v>0</v>
      </c>
      <c r="L35">
        <v>0</v>
      </c>
    </row>
    <row r="36" spans="1:12" ht="15" customHeight="1">
      <c r="A36" t="s">
        <v>424</v>
      </c>
      <c r="B36" t="s">
        <v>429</v>
      </c>
      <c r="C36">
        <v>-1</v>
      </c>
      <c r="D36">
        <v>5</v>
      </c>
      <c r="E36">
        <v>2</v>
      </c>
      <c r="F36">
        <v>20</v>
      </c>
      <c r="G36">
        <v>3</v>
      </c>
      <c r="H36" s="50" t="s">
        <v>426</v>
      </c>
      <c r="I36">
        <v>4</v>
      </c>
      <c r="J36">
        <v>4</v>
      </c>
      <c r="K36">
        <v>0</v>
      </c>
      <c r="L36">
        <v>0</v>
      </c>
    </row>
    <row r="37" spans="1:12" ht="15" customHeight="1">
      <c r="A37" t="s">
        <v>385</v>
      </c>
      <c r="B37" t="s">
        <v>430</v>
      </c>
      <c r="C37">
        <v>0</v>
      </c>
      <c r="D37">
        <v>8</v>
      </c>
      <c r="E37">
        <v>1</v>
      </c>
      <c r="F37" t="s">
        <v>325</v>
      </c>
      <c r="G37">
        <v>1</v>
      </c>
      <c r="H37">
        <v>1</v>
      </c>
      <c r="I37">
        <v>2</v>
      </c>
      <c r="J37">
        <v>0</v>
      </c>
      <c r="K37">
        <v>0</v>
      </c>
      <c r="L37">
        <v>0</v>
      </c>
    </row>
    <row r="38" spans="1:13" ht="15" customHeight="1">
      <c r="A38" s="65" t="s">
        <v>385</v>
      </c>
      <c r="B38" s="65" t="s">
        <v>431</v>
      </c>
      <c r="C38" s="26">
        <v>1</v>
      </c>
      <c r="D38">
        <v>3</v>
      </c>
      <c r="E38" s="50" t="s">
        <v>432</v>
      </c>
      <c r="F38" s="65" t="s">
        <v>325</v>
      </c>
      <c r="G38" s="65">
        <v>2</v>
      </c>
      <c r="H38" s="65">
        <v>7</v>
      </c>
      <c r="I38" s="65">
        <v>140.15</v>
      </c>
      <c r="J38">
        <v>0.5</v>
      </c>
      <c r="K38">
        <v>0</v>
      </c>
      <c r="L38">
        <v>0</v>
      </c>
      <c r="M38" t="s">
        <v>433</v>
      </c>
    </row>
    <row r="39" spans="1:13" ht="15" customHeight="1">
      <c r="A39" s="65" t="s">
        <v>385</v>
      </c>
      <c r="B39" s="65" t="s">
        <v>434</v>
      </c>
      <c r="C39" s="35">
        <v>1</v>
      </c>
      <c r="D39" t="s">
        <v>435</v>
      </c>
      <c r="E39" s="50" t="s">
        <v>436</v>
      </c>
      <c r="F39" s="65" t="s">
        <v>325</v>
      </c>
      <c r="G39" s="65">
        <v>7</v>
      </c>
      <c r="H39" s="65">
        <v>4</v>
      </c>
      <c r="I39" s="65">
        <v>420.3016</v>
      </c>
      <c r="J39">
        <v>4</v>
      </c>
      <c r="K39">
        <v>0</v>
      </c>
      <c r="L39">
        <v>0</v>
      </c>
      <c r="M39" t="s">
        <v>616</v>
      </c>
    </row>
    <row r="40" spans="1:13" ht="15" customHeight="1">
      <c r="A40" s="65" t="s">
        <v>385</v>
      </c>
      <c r="B40" t="s">
        <v>615</v>
      </c>
      <c r="C40" s="35">
        <v>0</v>
      </c>
      <c r="D40" t="s">
        <v>438</v>
      </c>
      <c r="E40" s="50" t="s">
        <v>439</v>
      </c>
      <c r="F40" s="65" t="s">
        <v>325</v>
      </c>
      <c r="G40" s="65">
        <v>0</v>
      </c>
      <c r="H40" s="65">
        <v>2</v>
      </c>
      <c r="I40" s="65">
        <v>790.5485952</v>
      </c>
      <c r="J40" s="65">
        <v>0</v>
      </c>
      <c r="K40" s="65">
        <v>0</v>
      </c>
      <c r="L40" s="65">
        <v>0</v>
      </c>
      <c r="M40" t="s">
        <v>622</v>
      </c>
    </row>
    <row r="41" spans="1:13" ht="15" customHeight="1">
      <c r="A41" s="65" t="s">
        <v>440</v>
      </c>
      <c r="B41" s="65" t="s">
        <v>441</v>
      </c>
      <c r="C41" s="35">
        <v>1</v>
      </c>
      <c r="D41" s="65">
        <v>4</v>
      </c>
      <c r="E41" s="50" t="s">
        <v>413</v>
      </c>
      <c r="F41" s="65" t="s">
        <v>325</v>
      </c>
      <c r="G41" s="65">
        <v>4</v>
      </c>
      <c r="H41" s="65">
        <v>6</v>
      </c>
      <c r="I41" s="65">
        <v>245.2</v>
      </c>
      <c r="J41" s="65">
        <v>1</v>
      </c>
      <c r="K41" s="65">
        <v>0</v>
      </c>
      <c r="L41" s="65">
        <v>0</v>
      </c>
      <c r="M41" s="65" t="s">
        <v>433</v>
      </c>
    </row>
    <row r="42" spans="1:13" ht="15" customHeight="1">
      <c r="A42" s="65" t="s">
        <v>424</v>
      </c>
      <c r="B42" s="65" t="s">
        <v>442</v>
      </c>
      <c r="C42" s="35">
        <v>1</v>
      </c>
      <c r="D42" s="65">
        <v>6</v>
      </c>
      <c r="E42">
        <v>3</v>
      </c>
      <c r="F42">
        <v>30</v>
      </c>
      <c r="G42" s="65">
        <v>6</v>
      </c>
      <c r="H42" t="s">
        <v>443</v>
      </c>
      <c r="I42" s="65">
        <v>339.71875</v>
      </c>
      <c r="J42" s="65">
        <v>4</v>
      </c>
      <c r="K42">
        <v>0</v>
      </c>
      <c r="L42" s="65">
        <v>0</v>
      </c>
      <c r="M42" s="65" t="s">
        <v>444</v>
      </c>
    </row>
    <row r="43" spans="1:13" ht="15" customHeight="1">
      <c r="A43" s="65" t="s">
        <v>424</v>
      </c>
      <c r="B43" t="s">
        <v>608</v>
      </c>
      <c r="C43" s="35">
        <v>1</v>
      </c>
      <c r="D43" t="s">
        <v>446</v>
      </c>
      <c r="E43">
        <v>7</v>
      </c>
      <c r="F43">
        <v>20</v>
      </c>
      <c r="G43" s="65">
        <v>10</v>
      </c>
      <c r="H43" t="s">
        <v>443</v>
      </c>
      <c r="I43" s="65">
        <v>226.2467</v>
      </c>
      <c r="J43" s="65">
        <v>5</v>
      </c>
      <c r="K43" s="65">
        <v>0</v>
      </c>
      <c r="L43" s="65">
        <v>0</v>
      </c>
      <c r="M43" s="65" t="s">
        <v>447</v>
      </c>
    </row>
    <row r="44" spans="1:13" ht="15" customHeight="1">
      <c r="A44" s="65" t="s">
        <v>424</v>
      </c>
      <c r="B44" s="65" t="s">
        <v>448</v>
      </c>
      <c r="C44" s="35">
        <v>1</v>
      </c>
      <c r="D44" t="s">
        <v>449</v>
      </c>
      <c r="E44">
        <v>10</v>
      </c>
      <c r="F44">
        <v>10</v>
      </c>
      <c r="G44" s="65">
        <v>7</v>
      </c>
      <c r="H44" s="50" t="s">
        <v>426</v>
      </c>
      <c r="I44" s="65">
        <v>266.825</v>
      </c>
      <c r="J44" s="65">
        <v>5</v>
      </c>
      <c r="K44" s="65">
        <v>0</v>
      </c>
      <c r="L44" s="65">
        <v>0</v>
      </c>
      <c r="M44" s="65" t="s">
        <v>450</v>
      </c>
    </row>
    <row r="45" spans="1:13" ht="15" customHeight="1">
      <c r="A45" s="65" t="s">
        <v>410</v>
      </c>
      <c r="B45" t="s">
        <v>451</v>
      </c>
      <c r="C45">
        <v>0</v>
      </c>
      <c r="D45">
        <v>1</v>
      </c>
      <c r="E45">
        <v>7</v>
      </c>
      <c r="F45" t="s">
        <v>325</v>
      </c>
      <c r="G45">
        <v>0</v>
      </c>
      <c r="H45">
        <v>1</v>
      </c>
      <c r="I45">
        <v>25.2</v>
      </c>
      <c r="J45">
        <v>0</v>
      </c>
      <c r="K45">
        <v>0</v>
      </c>
      <c r="L45">
        <v>0</v>
      </c>
      <c r="M45" t="s">
        <v>620</v>
      </c>
    </row>
    <row r="46" spans="1:13" ht="15" customHeight="1">
      <c r="A46" s="65" t="s">
        <v>410</v>
      </c>
      <c r="B46" s="65" t="s">
        <v>452</v>
      </c>
      <c r="C46">
        <v>1</v>
      </c>
      <c r="D46">
        <v>1</v>
      </c>
      <c r="E46">
        <v>10</v>
      </c>
      <c r="F46" t="s">
        <v>325</v>
      </c>
      <c r="G46">
        <v>5</v>
      </c>
      <c r="H46">
        <v>1</v>
      </c>
      <c r="I46">
        <v>78</v>
      </c>
      <c r="J46">
        <v>2</v>
      </c>
      <c r="K46">
        <v>0</v>
      </c>
      <c r="L46">
        <v>0</v>
      </c>
      <c r="M46" t="s">
        <v>453</v>
      </c>
    </row>
    <row r="47" spans="1:13" ht="15" customHeight="1">
      <c r="A47" t="s">
        <v>410</v>
      </c>
      <c r="B47" t="s">
        <v>454</v>
      </c>
      <c r="C47">
        <v>1</v>
      </c>
      <c r="D47">
        <v>1</v>
      </c>
      <c r="E47">
        <v>15</v>
      </c>
      <c r="F47" t="s">
        <v>325</v>
      </c>
      <c r="G47">
        <v>0</v>
      </c>
      <c r="H47">
        <v>1</v>
      </c>
      <c r="I47">
        <v>394</v>
      </c>
      <c r="J47">
        <v>0</v>
      </c>
      <c r="K47">
        <v>0</v>
      </c>
      <c r="L47">
        <v>0</v>
      </c>
      <c r="M47" t="s">
        <v>455</v>
      </c>
    </row>
    <row r="48" spans="1:13" ht="15" customHeight="1">
      <c r="A48" t="s">
        <v>385</v>
      </c>
      <c r="B48" t="s">
        <v>456</v>
      </c>
      <c r="C48">
        <v>2</v>
      </c>
      <c r="D48" t="s">
        <v>438</v>
      </c>
      <c r="E48" s="50" t="s">
        <v>457</v>
      </c>
      <c r="F48" t="s">
        <v>325</v>
      </c>
      <c r="G48">
        <v>9</v>
      </c>
      <c r="H48">
        <v>3</v>
      </c>
      <c r="I48">
        <v>1451.355</v>
      </c>
      <c r="J48">
        <v>6</v>
      </c>
      <c r="K48">
        <v>0</v>
      </c>
      <c r="L48">
        <v>0</v>
      </c>
      <c r="M48" t="s">
        <v>617</v>
      </c>
    </row>
    <row r="49" spans="1:13" ht="15" customHeight="1">
      <c r="A49" t="s">
        <v>385</v>
      </c>
      <c r="B49" t="s">
        <v>614</v>
      </c>
      <c r="C49">
        <v>1</v>
      </c>
      <c r="D49" t="s">
        <v>459</v>
      </c>
      <c r="E49" s="50" t="s">
        <v>460</v>
      </c>
      <c r="F49" t="s">
        <v>325</v>
      </c>
      <c r="G49">
        <v>0</v>
      </c>
      <c r="H49">
        <v>2</v>
      </c>
      <c r="I49">
        <v>848.37375</v>
      </c>
      <c r="J49">
        <v>0</v>
      </c>
      <c r="K49">
        <v>0</v>
      </c>
      <c r="L49">
        <v>0</v>
      </c>
      <c r="M49" t="s">
        <v>623</v>
      </c>
    </row>
    <row r="50" spans="1:13" ht="15" customHeight="1">
      <c r="A50" t="s">
        <v>397</v>
      </c>
      <c r="B50" t="s">
        <v>461</v>
      </c>
      <c r="C50">
        <v>1</v>
      </c>
      <c r="D50">
        <v>4</v>
      </c>
      <c r="E50" s="50" t="s">
        <v>432</v>
      </c>
      <c r="F50">
        <v>80</v>
      </c>
      <c r="G50">
        <v>2</v>
      </c>
      <c r="H50">
        <v>6</v>
      </c>
      <c r="I50">
        <v>234.0625</v>
      </c>
      <c r="J50">
        <v>1</v>
      </c>
      <c r="K50">
        <v>2.0375</v>
      </c>
      <c r="L50">
        <v>80</v>
      </c>
      <c r="M50" t="s">
        <v>462</v>
      </c>
    </row>
    <row r="51" spans="1:13" ht="15" customHeight="1">
      <c r="A51" t="s">
        <v>397</v>
      </c>
      <c r="B51" t="s">
        <v>606</v>
      </c>
      <c r="C51">
        <v>1</v>
      </c>
      <c r="D51" t="s">
        <v>435</v>
      </c>
      <c r="E51" s="50" t="s">
        <v>464</v>
      </c>
      <c r="F51">
        <v>80</v>
      </c>
      <c r="G51">
        <v>8</v>
      </c>
      <c r="H51">
        <v>4</v>
      </c>
      <c r="I51">
        <v>659.77675</v>
      </c>
      <c r="J51">
        <v>3</v>
      </c>
      <c r="K51">
        <v>5.74151</v>
      </c>
      <c r="L51">
        <v>80</v>
      </c>
      <c r="M51" t="s">
        <v>465</v>
      </c>
    </row>
    <row r="52" spans="1:13" ht="15" customHeight="1">
      <c r="A52" t="s">
        <v>397</v>
      </c>
      <c r="B52" t="s">
        <v>463</v>
      </c>
      <c r="C52">
        <v>1</v>
      </c>
      <c r="D52" t="s">
        <v>438</v>
      </c>
      <c r="E52" s="91" t="s">
        <v>605</v>
      </c>
      <c r="F52">
        <v>75</v>
      </c>
      <c r="G52">
        <v>11</v>
      </c>
      <c r="H52">
        <v>3</v>
      </c>
      <c r="I52">
        <v>686.337922</v>
      </c>
      <c r="J52">
        <v>5</v>
      </c>
      <c r="K52">
        <v>6.259661</v>
      </c>
      <c r="L52">
        <v>75</v>
      </c>
      <c r="M52" t="s">
        <v>465</v>
      </c>
    </row>
    <row r="53" spans="1:13" ht="15" customHeight="1">
      <c r="A53" t="s">
        <v>410</v>
      </c>
      <c r="B53" t="s">
        <v>496</v>
      </c>
      <c r="C53">
        <v>1</v>
      </c>
      <c r="D53">
        <v>1</v>
      </c>
      <c r="E53">
        <v>12</v>
      </c>
      <c r="F53" t="s">
        <v>325</v>
      </c>
      <c r="G53">
        <v>6</v>
      </c>
      <c r="H53">
        <v>0</v>
      </c>
      <c r="I53">
        <v>44.05</v>
      </c>
      <c r="J53">
        <v>1</v>
      </c>
      <c r="K53">
        <v>0</v>
      </c>
      <c r="L53">
        <v>0</v>
      </c>
      <c r="M53" t="s">
        <v>607</v>
      </c>
    </row>
    <row r="54" spans="1:13" ht="15" customHeight="1">
      <c r="A54" t="s">
        <v>424</v>
      </c>
      <c r="B54" t="s">
        <v>445</v>
      </c>
      <c r="C54">
        <v>1</v>
      </c>
      <c r="D54">
        <v>9</v>
      </c>
      <c r="E54">
        <v>6</v>
      </c>
      <c r="F54">
        <v>25</v>
      </c>
      <c r="G54">
        <v>10</v>
      </c>
      <c r="H54" s="91" t="s">
        <v>426</v>
      </c>
      <c r="I54">
        <v>184.34375</v>
      </c>
      <c r="J54">
        <v>5</v>
      </c>
      <c r="K54">
        <v>0</v>
      </c>
      <c r="L54">
        <v>0</v>
      </c>
      <c r="M54" t="s">
        <v>609</v>
      </c>
    </row>
    <row r="55" spans="1:13" ht="15" customHeight="1">
      <c r="A55" t="s">
        <v>385</v>
      </c>
      <c r="B55" t="s">
        <v>437</v>
      </c>
      <c r="C55">
        <v>1</v>
      </c>
      <c r="D55" t="s">
        <v>618</v>
      </c>
      <c r="E55" s="91" t="s">
        <v>413</v>
      </c>
      <c r="F55" t="s">
        <v>325</v>
      </c>
      <c r="G55">
        <v>0</v>
      </c>
      <c r="H55" s="91">
        <v>8</v>
      </c>
      <c r="I55">
        <v>627.41952</v>
      </c>
      <c r="J55">
        <v>0</v>
      </c>
      <c r="K55">
        <v>0</v>
      </c>
      <c r="L55">
        <v>0</v>
      </c>
      <c r="M55" t="s">
        <v>621</v>
      </c>
    </row>
    <row r="56" spans="1:13" ht="15" customHeight="1">
      <c r="A56" t="s">
        <v>385</v>
      </c>
      <c r="B56" t="s">
        <v>458</v>
      </c>
      <c r="C56">
        <v>1</v>
      </c>
      <c r="D56" t="s">
        <v>619</v>
      </c>
      <c r="E56" s="91" t="s">
        <v>420</v>
      </c>
      <c r="F56" t="s">
        <v>325</v>
      </c>
      <c r="G56">
        <v>0</v>
      </c>
      <c r="H56">
        <v>6</v>
      </c>
      <c r="I56">
        <v>731.98944</v>
      </c>
      <c r="J56">
        <v>0</v>
      </c>
      <c r="K56">
        <v>0</v>
      </c>
      <c r="L56">
        <v>0</v>
      </c>
      <c r="M56" t="s">
        <v>624</v>
      </c>
    </row>
    <row r="57" spans="1:12" ht="15" customHeight="1">
      <c r="A57" t="s">
        <v>385</v>
      </c>
      <c r="B57" s="16" t="s">
        <v>626</v>
      </c>
      <c r="C57" s="16">
        <v>1</v>
      </c>
      <c r="D57" s="16">
        <v>54</v>
      </c>
      <c r="E57" s="64" t="s">
        <v>625</v>
      </c>
      <c r="F57" s="16" t="s">
        <v>325</v>
      </c>
      <c r="G57" s="16">
        <v>20</v>
      </c>
      <c r="H57" s="16" t="s">
        <v>325</v>
      </c>
      <c r="I57">
        <v>1435.9</v>
      </c>
      <c r="J57">
        <v>1</v>
      </c>
      <c r="K57" s="16">
        <v>0</v>
      </c>
      <c r="L57" s="35">
        <v>0</v>
      </c>
    </row>
    <row r="58" spans="1:12" ht="15" customHeight="1">
      <c r="A58" t="s">
        <v>385</v>
      </c>
      <c r="B58" s="35" t="s">
        <v>627</v>
      </c>
      <c r="C58" s="35">
        <v>3</v>
      </c>
      <c r="D58" s="35">
        <v>13</v>
      </c>
      <c r="E58" s="16">
        <v>10</v>
      </c>
      <c r="F58" s="35" t="s">
        <v>325</v>
      </c>
      <c r="G58" s="35">
        <v>10</v>
      </c>
      <c r="H58" s="35">
        <v>1</v>
      </c>
      <c r="I58" s="35">
        <v>44.5</v>
      </c>
      <c r="J58" s="16">
        <v>1</v>
      </c>
      <c r="K58" s="35">
        <v>0</v>
      </c>
      <c r="L58" s="35">
        <v>0</v>
      </c>
    </row>
    <row r="59" spans="2:12" ht="15" customHeight="1">
      <c r="B59" s="35" t="s">
        <v>628</v>
      </c>
      <c r="C59" s="35">
        <v>1</v>
      </c>
      <c r="D59" s="35">
        <v>6</v>
      </c>
      <c r="E59" t="s">
        <v>625</v>
      </c>
      <c r="F59">
        <v>50</v>
      </c>
      <c r="G59" s="35">
        <v>20</v>
      </c>
      <c r="H59" s="35">
        <v>3</v>
      </c>
      <c r="I59" s="35">
        <v>84.125</v>
      </c>
      <c r="J59" s="35">
        <v>0.5</v>
      </c>
      <c r="K59" s="35">
        <v>0</v>
      </c>
      <c r="L59" s="35">
        <v>0</v>
      </c>
    </row>
    <row r="60" spans="2:13" ht="15" customHeight="1">
      <c r="B60" s="35" t="s">
        <v>629</v>
      </c>
      <c r="C60" s="35">
        <v>0</v>
      </c>
      <c r="D60" s="35">
        <v>0</v>
      </c>
      <c r="E60">
        <v>0</v>
      </c>
      <c r="F60">
        <v>0</v>
      </c>
      <c r="G60" s="35">
        <v>20</v>
      </c>
      <c r="H60" s="35">
        <v>8</v>
      </c>
      <c r="I60" s="35">
        <v>693.7813</v>
      </c>
      <c r="J60" s="35">
        <v>0.5</v>
      </c>
      <c r="K60" s="35">
        <v>13.46</v>
      </c>
      <c r="L60" s="35">
        <v>50</v>
      </c>
      <c r="M60" t="s">
        <v>630</v>
      </c>
    </row>
    <row r="61" spans="2:12" ht="15" customHeight="1">
      <c r="B61" s="35"/>
      <c r="C61" s="35"/>
      <c r="D61" s="35"/>
      <c r="G61" s="35"/>
      <c r="H61" s="35"/>
      <c r="I61" s="35"/>
      <c r="J61" s="35"/>
      <c r="K61" s="35"/>
      <c r="L61" s="35"/>
    </row>
    <row r="62" spans="2:12" ht="15" customHeight="1">
      <c r="B62" s="35"/>
      <c r="C62" s="35"/>
      <c r="D62" s="35"/>
      <c r="G62" s="35"/>
      <c r="H62" s="35"/>
      <c r="I62" s="35"/>
      <c r="J62" s="35"/>
      <c r="K62" s="35"/>
      <c r="L62" s="3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102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4" max="4" width="11.28125" style="0" customWidth="1"/>
    <col min="15" max="15" width="14.421875" style="0" customWidth="1"/>
  </cols>
  <sheetData>
    <row r="1" spans="1:8" ht="15" customHeight="1">
      <c r="A1" s="66" t="s">
        <v>466</v>
      </c>
      <c r="H1" s="66"/>
    </row>
    <row r="2" spans="1:14" ht="15" customHeight="1">
      <c r="A2" t="s">
        <v>379</v>
      </c>
      <c r="B2" t="s">
        <v>24</v>
      </c>
      <c r="C2" t="s">
        <v>185</v>
      </c>
      <c r="E2" t="s">
        <v>185</v>
      </c>
      <c r="F2" t="s">
        <v>24</v>
      </c>
      <c r="H2" t="s">
        <v>467</v>
      </c>
      <c r="K2" t="s">
        <v>468</v>
      </c>
      <c r="N2" t="s">
        <v>469</v>
      </c>
    </row>
    <row r="3" spans="1:16" ht="15" customHeight="1">
      <c r="A3">
        <v>1</v>
      </c>
      <c r="B3">
        <v>1.5</v>
      </c>
      <c r="C3">
        <v>4</v>
      </c>
      <c r="E3" t="s">
        <v>470</v>
      </c>
      <c r="F3">
        <v>0.62</v>
      </c>
      <c r="H3">
        <v>-2</v>
      </c>
      <c r="I3">
        <v>0.6</v>
      </c>
      <c r="K3" t="s">
        <v>200</v>
      </c>
      <c r="L3">
        <v>1</v>
      </c>
      <c r="N3" t="s">
        <v>216</v>
      </c>
      <c r="P3">
        <v>1</v>
      </c>
    </row>
    <row r="4" spans="1:16" ht="15" customHeight="1">
      <c r="A4" s="51">
        <f aca="true" t="shared" si="0" ref="A4:A22">A3+1</f>
        <v>2</v>
      </c>
      <c r="B4">
        <v>3</v>
      </c>
      <c r="C4">
        <v>6</v>
      </c>
      <c r="E4" t="s">
        <v>471</v>
      </c>
      <c r="F4">
        <v>0.75</v>
      </c>
      <c r="H4">
        <v>-1</v>
      </c>
      <c r="I4">
        <v>0.8</v>
      </c>
      <c r="K4" t="s">
        <v>472</v>
      </c>
      <c r="L4">
        <v>2</v>
      </c>
      <c r="N4" t="s">
        <v>473</v>
      </c>
      <c r="P4">
        <v>1</v>
      </c>
    </row>
    <row r="5" spans="1:16" ht="15" customHeight="1">
      <c r="A5" s="51">
        <f t="shared" si="0"/>
        <v>3</v>
      </c>
      <c r="B5">
        <v>4.5</v>
      </c>
      <c r="C5">
        <v>7</v>
      </c>
      <c r="E5" t="s">
        <v>474</v>
      </c>
      <c r="F5">
        <v>0.88</v>
      </c>
      <c r="H5">
        <v>0</v>
      </c>
      <c r="I5">
        <v>0.9</v>
      </c>
      <c r="K5" t="s">
        <v>475</v>
      </c>
      <c r="L5">
        <v>3</v>
      </c>
      <c r="N5" t="s">
        <v>476</v>
      </c>
      <c r="P5">
        <v>1.8</v>
      </c>
    </row>
    <row r="6" spans="1:16" ht="15" customHeight="1">
      <c r="A6" s="51">
        <f t="shared" si="0"/>
        <v>4</v>
      </c>
      <c r="B6">
        <v>6</v>
      </c>
      <c r="C6">
        <v>8</v>
      </c>
      <c r="E6" t="s">
        <v>477</v>
      </c>
      <c r="F6">
        <v>1</v>
      </c>
      <c r="H6">
        <v>1</v>
      </c>
      <c r="I6">
        <v>1</v>
      </c>
      <c r="K6" t="s">
        <v>478</v>
      </c>
      <c r="L6">
        <v>5</v>
      </c>
      <c r="N6" t="s">
        <v>479</v>
      </c>
      <c r="P6">
        <v>1</v>
      </c>
    </row>
    <row r="7" spans="1:16" ht="15" customHeight="1">
      <c r="A7" s="51">
        <f t="shared" si="0"/>
        <v>5</v>
      </c>
      <c r="B7">
        <v>7.5</v>
      </c>
      <c r="C7">
        <v>9</v>
      </c>
      <c r="E7" t="s">
        <v>480</v>
      </c>
      <c r="F7">
        <v>1.12</v>
      </c>
      <c r="H7">
        <v>2</v>
      </c>
      <c r="I7">
        <v>1.5</v>
      </c>
      <c r="K7" t="s">
        <v>481</v>
      </c>
      <c r="L7">
        <v>7</v>
      </c>
      <c r="N7" t="s">
        <v>482</v>
      </c>
      <c r="P7">
        <v>1.8</v>
      </c>
    </row>
    <row r="8" spans="1:16" ht="15" customHeight="1">
      <c r="A8" s="51">
        <f t="shared" si="0"/>
        <v>6</v>
      </c>
      <c r="B8">
        <v>9</v>
      </c>
      <c r="C8">
        <v>10</v>
      </c>
      <c r="E8" t="s">
        <v>483</v>
      </c>
      <c r="F8">
        <v>1.25</v>
      </c>
      <c r="H8">
        <v>3</v>
      </c>
      <c r="I8">
        <v>2</v>
      </c>
      <c r="K8" t="s">
        <v>484</v>
      </c>
      <c r="L8">
        <v>9</v>
      </c>
      <c r="N8" t="s">
        <v>485</v>
      </c>
      <c r="P8">
        <v>1.8</v>
      </c>
    </row>
    <row r="9" spans="1:16" ht="15" customHeight="1">
      <c r="A9" s="51">
        <f t="shared" si="0"/>
        <v>7</v>
      </c>
      <c r="B9">
        <v>10.5</v>
      </c>
      <c r="C9">
        <v>11</v>
      </c>
      <c r="E9" t="s">
        <v>486</v>
      </c>
      <c r="F9">
        <v>1.38</v>
      </c>
      <c r="N9" t="s">
        <v>487</v>
      </c>
      <c r="P9">
        <v>2.6</v>
      </c>
    </row>
    <row r="10" spans="1:6" ht="15" customHeight="1">
      <c r="A10" s="51">
        <f t="shared" si="0"/>
        <v>8</v>
      </c>
      <c r="B10">
        <v>12</v>
      </c>
      <c r="C10">
        <v>11</v>
      </c>
      <c r="E10" t="s">
        <v>488</v>
      </c>
      <c r="F10">
        <v>1.5</v>
      </c>
    </row>
    <row r="11" spans="1:11" ht="15" customHeight="1">
      <c r="A11" s="51">
        <f t="shared" si="0"/>
        <v>9</v>
      </c>
      <c r="B11">
        <v>13.5</v>
      </c>
      <c r="C11">
        <v>12</v>
      </c>
      <c r="E11" t="s">
        <v>489</v>
      </c>
      <c r="F11">
        <v>1.75</v>
      </c>
      <c r="H11" t="s">
        <v>189</v>
      </c>
      <c r="K11" t="s">
        <v>490</v>
      </c>
    </row>
    <row r="12" spans="1:14" ht="15" customHeight="1">
      <c r="A12" s="51">
        <f t="shared" si="0"/>
        <v>10</v>
      </c>
      <c r="B12">
        <v>15</v>
      </c>
      <c r="C12">
        <v>13</v>
      </c>
      <c r="E12" t="s">
        <v>491</v>
      </c>
      <c r="F12">
        <v>2</v>
      </c>
      <c r="H12">
        <v>0</v>
      </c>
      <c r="I12">
        <v>0.33</v>
      </c>
      <c r="K12">
        <v>1</v>
      </c>
      <c r="L12">
        <v>1</v>
      </c>
      <c r="N12" t="s">
        <v>213</v>
      </c>
    </row>
    <row r="13" spans="1:14" ht="15" customHeight="1">
      <c r="A13" s="51">
        <f t="shared" si="0"/>
        <v>11</v>
      </c>
      <c r="B13">
        <v>16.5</v>
      </c>
      <c r="C13">
        <v>13</v>
      </c>
      <c r="H13">
        <v>1</v>
      </c>
      <c r="I13">
        <v>0.5</v>
      </c>
      <c r="K13">
        <v>2</v>
      </c>
      <c r="L13">
        <v>1.5</v>
      </c>
      <c r="N13" t="s">
        <v>215</v>
      </c>
    </row>
    <row r="14" spans="1:12" ht="15" customHeight="1">
      <c r="A14" s="51">
        <f t="shared" si="0"/>
        <v>12</v>
      </c>
      <c r="B14">
        <v>18</v>
      </c>
      <c r="C14">
        <v>14</v>
      </c>
      <c r="H14">
        <v>2</v>
      </c>
      <c r="I14">
        <v>0.6</v>
      </c>
      <c r="K14">
        <v>3</v>
      </c>
      <c r="L14">
        <v>2</v>
      </c>
    </row>
    <row r="15" spans="1:12" ht="15" customHeight="1">
      <c r="A15" s="51">
        <f t="shared" si="0"/>
        <v>13</v>
      </c>
      <c r="B15">
        <v>19.5</v>
      </c>
      <c r="C15">
        <v>14</v>
      </c>
      <c r="E15" t="s">
        <v>492</v>
      </c>
      <c r="H15">
        <v>3</v>
      </c>
      <c r="I15">
        <v>0.7</v>
      </c>
      <c r="K15">
        <v>4</v>
      </c>
      <c r="L15">
        <v>2.5</v>
      </c>
    </row>
    <row r="16" spans="1:12" ht="15" customHeight="1">
      <c r="A16" s="51">
        <f t="shared" si="0"/>
        <v>14</v>
      </c>
      <c r="B16">
        <v>21</v>
      </c>
      <c r="C16">
        <v>15</v>
      </c>
      <c r="E16" s="50" t="s">
        <v>200</v>
      </c>
      <c r="F16">
        <v>1</v>
      </c>
      <c r="H16">
        <v>5</v>
      </c>
      <c r="I16">
        <v>0.8</v>
      </c>
      <c r="K16">
        <v>5</v>
      </c>
      <c r="L16">
        <v>3</v>
      </c>
    </row>
    <row r="17" spans="1:12" ht="15" customHeight="1">
      <c r="A17" s="51">
        <f t="shared" si="0"/>
        <v>15</v>
      </c>
      <c r="B17">
        <v>22.5</v>
      </c>
      <c r="C17">
        <v>15</v>
      </c>
      <c r="E17">
        <v>1</v>
      </c>
      <c r="F17">
        <v>0.9</v>
      </c>
      <c r="H17">
        <v>10</v>
      </c>
      <c r="I17">
        <v>0.9</v>
      </c>
      <c r="K17">
        <v>6</v>
      </c>
      <c r="L17">
        <v>3.5</v>
      </c>
    </row>
    <row r="18" spans="1:12" ht="15" customHeight="1">
      <c r="A18" s="51">
        <f t="shared" si="0"/>
        <v>16</v>
      </c>
      <c r="B18">
        <v>24</v>
      </c>
      <c r="C18">
        <v>16</v>
      </c>
      <c r="E18">
        <v>2</v>
      </c>
      <c r="F18">
        <v>0.7</v>
      </c>
      <c r="H18" s="50" t="s">
        <v>325</v>
      </c>
      <c r="I18">
        <v>1</v>
      </c>
      <c r="K18">
        <v>7</v>
      </c>
      <c r="L18">
        <v>4</v>
      </c>
    </row>
    <row r="19" spans="1:12" ht="15" customHeight="1">
      <c r="A19" s="51">
        <f t="shared" si="0"/>
        <v>17</v>
      </c>
      <c r="B19">
        <v>25.5</v>
      </c>
      <c r="C19">
        <v>16</v>
      </c>
      <c r="E19">
        <v>3</v>
      </c>
      <c r="F19">
        <v>0.6</v>
      </c>
      <c r="K19">
        <v>8</v>
      </c>
      <c r="L19">
        <v>4.5</v>
      </c>
    </row>
    <row r="20" spans="1:12" ht="15" customHeight="1">
      <c r="A20" s="51">
        <f t="shared" si="0"/>
        <v>18</v>
      </c>
      <c r="B20">
        <v>27</v>
      </c>
      <c r="C20">
        <v>17</v>
      </c>
      <c r="K20" s="50" t="s">
        <v>325</v>
      </c>
      <c r="L20">
        <v>5</v>
      </c>
    </row>
    <row r="21" spans="1:3" ht="15" customHeight="1">
      <c r="A21" s="51">
        <f t="shared" si="0"/>
        <v>19</v>
      </c>
      <c r="B21">
        <v>28.5</v>
      </c>
      <c r="C21">
        <v>17</v>
      </c>
    </row>
    <row r="22" spans="1:8" ht="15" customHeight="1">
      <c r="A22" s="51">
        <f t="shared" si="0"/>
        <v>20</v>
      </c>
      <c r="B22">
        <v>30</v>
      </c>
      <c r="C22">
        <v>18</v>
      </c>
      <c r="H22" s="66"/>
    </row>
    <row r="24" ht="15" customHeight="1">
      <c r="A24" s="66" t="s">
        <v>493</v>
      </c>
    </row>
    <row r="26" spans="1:10" ht="15" customHeight="1">
      <c r="A26" t="s">
        <v>467</v>
      </c>
      <c r="D26" t="s">
        <v>494</v>
      </c>
      <c r="G26" t="s">
        <v>495</v>
      </c>
      <c r="J26" t="s">
        <v>496</v>
      </c>
    </row>
    <row r="27" spans="1:11" ht="15" customHeight="1">
      <c r="A27">
        <v>-1</v>
      </c>
      <c r="B27">
        <v>0.6</v>
      </c>
      <c r="D27" t="s">
        <v>200</v>
      </c>
      <c r="E27">
        <v>1</v>
      </c>
      <c r="G27">
        <v>1</v>
      </c>
      <c r="H27">
        <v>0.3</v>
      </c>
      <c r="J27" t="s">
        <v>213</v>
      </c>
      <c r="K27">
        <v>1</v>
      </c>
    </row>
    <row r="28" spans="1:11" ht="15" customHeight="1">
      <c r="A28">
        <v>-2</v>
      </c>
      <c r="B28">
        <v>0.8</v>
      </c>
      <c r="D28">
        <v>1</v>
      </c>
      <c r="E28">
        <v>1.5</v>
      </c>
      <c r="G28">
        <v>2</v>
      </c>
      <c r="H28">
        <v>0.4</v>
      </c>
      <c r="J28" t="s">
        <v>215</v>
      </c>
      <c r="K28">
        <v>1.5</v>
      </c>
    </row>
    <row r="29" spans="1:11" ht="15" customHeight="1">
      <c r="A29">
        <v>0</v>
      </c>
      <c r="B29">
        <v>0.9</v>
      </c>
      <c r="D29">
        <v>2</v>
      </c>
      <c r="E29">
        <v>2</v>
      </c>
      <c r="G29">
        <v>3</v>
      </c>
      <c r="H29">
        <v>0.5</v>
      </c>
      <c r="J29" t="s">
        <v>497</v>
      </c>
      <c r="K29">
        <v>2</v>
      </c>
    </row>
    <row r="30" spans="1:8" ht="15" customHeight="1">
      <c r="A30">
        <v>1</v>
      </c>
      <c r="B30">
        <v>1</v>
      </c>
      <c r="D30">
        <v>3</v>
      </c>
      <c r="E30">
        <v>2.5</v>
      </c>
      <c r="G30">
        <v>4</v>
      </c>
      <c r="H30">
        <v>0.6</v>
      </c>
    </row>
    <row r="31" spans="1:8" ht="15" customHeight="1">
      <c r="A31">
        <v>2</v>
      </c>
      <c r="B31">
        <v>1.5</v>
      </c>
      <c r="D31">
        <v>4</v>
      </c>
      <c r="E31">
        <v>3</v>
      </c>
      <c r="G31">
        <v>5</v>
      </c>
      <c r="H31">
        <v>0.7</v>
      </c>
    </row>
    <row r="32" spans="1:8" ht="15" customHeight="1">
      <c r="A32">
        <v>3</v>
      </c>
      <c r="B32">
        <v>2</v>
      </c>
      <c r="D32">
        <v>5</v>
      </c>
      <c r="E32">
        <v>3.5</v>
      </c>
      <c r="G32">
        <v>7</v>
      </c>
      <c r="H32">
        <v>0.8</v>
      </c>
    </row>
    <row r="33" spans="7:8" ht="15" customHeight="1">
      <c r="G33">
        <v>10</v>
      </c>
      <c r="H33">
        <v>0.9</v>
      </c>
    </row>
    <row r="34" spans="7:8" ht="15" customHeight="1">
      <c r="G34" t="s">
        <v>325</v>
      </c>
      <c r="H34">
        <v>1</v>
      </c>
    </row>
    <row r="36" ht="15" customHeight="1">
      <c r="A36" s="66" t="s">
        <v>498</v>
      </c>
    </row>
    <row r="37" spans="1:6" ht="15" customHeight="1">
      <c r="A37">
        <v>-2</v>
      </c>
      <c r="B37">
        <v>0.6</v>
      </c>
      <c r="D37" t="s">
        <v>200</v>
      </c>
      <c r="F37">
        <v>1</v>
      </c>
    </row>
    <row r="38" spans="1:6" ht="15" customHeight="1">
      <c r="A38">
        <v>-1</v>
      </c>
      <c r="B38">
        <v>0.8</v>
      </c>
      <c r="D38" t="s">
        <v>499</v>
      </c>
      <c r="F38">
        <v>2</v>
      </c>
    </row>
    <row r="39" spans="1:6" ht="15" customHeight="1">
      <c r="A39">
        <v>0</v>
      </c>
      <c r="B39">
        <v>1</v>
      </c>
      <c r="D39" t="s">
        <v>500</v>
      </c>
      <c r="F39">
        <v>3</v>
      </c>
    </row>
    <row r="40" spans="1:2" ht="15" customHeight="1">
      <c r="A40">
        <v>1</v>
      </c>
      <c r="B40">
        <v>1.5</v>
      </c>
    </row>
    <row r="41" spans="1:2" ht="15" customHeight="1">
      <c r="A41">
        <v>2</v>
      </c>
      <c r="B41">
        <v>2</v>
      </c>
    </row>
    <row r="44" spans="1:11" ht="15" customHeight="1">
      <c r="A44" s="66" t="s">
        <v>501</v>
      </c>
      <c r="E44" t="s">
        <v>185</v>
      </c>
      <c r="H44" t="s">
        <v>502</v>
      </c>
      <c r="K44" t="s">
        <v>503</v>
      </c>
    </row>
    <row r="45" spans="1:12" ht="15" customHeight="1">
      <c r="A45">
        <v>1</v>
      </c>
      <c r="B45" s="51">
        <f aca="true" t="shared" si="1" ref="B45:B64">A45/10</f>
        <v>0.1</v>
      </c>
      <c r="C45">
        <v>4</v>
      </c>
      <c r="E45" s="68">
        <v>0</v>
      </c>
      <c r="F45">
        <v>0.5</v>
      </c>
      <c r="H45" t="s">
        <v>200</v>
      </c>
      <c r="I45">
        <v>1</v>
      </c>
      <c r="K45" t="s">
        <v>200</v>
      </c>
      <c r="L45">
        <v>1</v>
      </c>
    </row>
    <row r="46" spans="1:12" ht="15" customHeight="1">
      <c r="A46" s="51">
        <f aca="true" t="shared" si="2" ref="A46:A64">A45+1</f>
        <v>2</v>
      </c>
      <c r="B46" s="51">
        <f t="shared" si="1"/>
        <v>0.2</v>
      </c>
      <c r="C46">
        <v>5</v>
      </c>
      <c r="E46" s="68">
        <v>0.25</v>
      </c>
      <c r="F46">
        <v>0.62</v>
      </c>
      <c r="H46">
        <v>1</v>
      </c>
      <c r="I46">
        <v>2.5</v>
      </c>
      <c r="K46">
        <v>6</v>
      </c>
      <c r="L46">
        <v>1</v>
      </c>
    </row>
    <row r="47" spans="1:12" ht="15" customHeight="1">
      <c r="A47" s="51">
        <f t="shared" si="2"/>
        <v>3</v>
      </c>
      <c r="B47" s="51">
        <f t="shared" si="1"/>
        <v>0.3</v>
      </c>
      <c r="C47">
        <v>6</v>
      </c>
      <c r="E47" s="68">
        <v>0.5</v>
      </c>
      <c r="F47">
        <v>0.75</v>
      </c>
      <c r="H47">
        <v>2</v>
      </c>
      <c r="I47">
        <v>3</v>
      </c>
      <c r="K47">
        <v>9</v>
      </c>
      <c r="L47">
        <v>1.3</v>
      </c>
    </row>
    <row r="48" spans="1:12" ht="15" customHeight="1">
      <c r="A48" s="51">
        <f t="shared" si="2"/>
        <v>4</v>
      </c>
      <c r="B48" s="51">
        <f t="shared" si="1"/>
        <v>0.4</v>
      </c>
      <c r="C48">
        <v>7</v>
      </c>
      <c r="E48" s="68">
        <v>0.75</v>
      </c>
      <c r="F48">
        <v>0.88</v>
      </c>
      <c r="H48">
        <v>3</v>
      </c>
      <c r="I48">
        <v>3.5</v>
      </c>
      <c r="K48">
        <v>12</v>
      </c>
      <c r="L48">
        <v>1.6</v>
      </c>
    </row>
    <row r="49" spans="1:12" ht="15" customHeight="1">
      <c r="A49" s="51">
        <f t="shared" si="2"/>
        <v>5</v>
      </c>
      <c r="B49" s="51">
        <f t="shared" si="1"/>
        <v>0.5</v>
      </c>
      <c r="C49">
        <v>8</v>
      </c>
      <c r="E49" s="68">
        <v>1</v>
      </c>
      <c r="F49">
        <v>1</v>
      </c>
      <c r="H49">
        <v>4</v>
      </c>
      <c r="I49">
        <v>4</v>
      </c>
      <c r="K49">
        <v>15</v>
      </c>
      <c r="L49">
        <v>1.9</v>
      </c>
    </row>
    <row r="50" spans="1:12" ht="15" customHeight="1">
      <c r="A50" s="51">
        <f t="shared" si="2"/>
        <v>6</v>
      </c>
      <c r="B50" s="51">
        <f t="shared" si="1"/>
        <v>0.6</v>
      </c>
      <c r="C50">
        <v>9</v>
      </c>
      <c r="E50" s="68">
        <v>1.25</v>
      </c>
      <c r="F50">
        <v>1.12</v>
      </c>
      <c r="K50">
        <v>18</v>
      </c>
      <c r="L50">
        <v>2.2</v>
      </c>
    </row>
    <row r="51" spans="1:12" ht="15" customHeight="1">
      <c r="A51" s="51">
        <f t="shared" si="2"/>
        <v>7</v>
      </c>
      <c r="B51" s="51">
        <f t="shared" si="1"/>
        <v>0.7</v>
      </c>
      <c r="C51">
        <v>9</v>
      </c>
      <c r="E51" s="68">
        <v>1.5</v>
      </c>
      <c r="F51">
        <v>1.25</v>
      </c>
      <c r="K51">
        <v>20</v>
      </c>
      <c r="L51">
        <v>2.5</v>
      </c>
    </row>
    <row r="52" spans="1:6" ht="15" customHeight="1">
      <c r="A52" s="51">
        <f t="shared" si="2"/>
        <v>8</v>
      </c>
      <c r="B52" s="51">
        <f t="shared" si="1"/>
        <v>0.8</v>
      </c>
      <c r="C52">
        <v>10</v>
      </c>
      <c r="E52" s="68">
        <v>1.75</v>
      </c>
      <c r="F52">
        <v>1.38</v>
      </c>
    </row>
    <row r="53" spans="1:8" ht="15" customHeight="1">
      <c r="A53" s="51">
        <f t="shared" si="2"/>
        <v>9</v>
      </c>
      <c r="B53" s="51">
        <f t="shared" si="1"/>
        <v>0.9</v>
      </c>
      <c r="C53">
        <v>11</v>
      </c>
      <c r="E53" s="68">
        <v>2</v>
      </c>
      <c r="F53">
        <v>1.5</v>
      </c>
      <c r="H53" t="s">
        <v>504</v>
      </c>
    </row>
    <row r="54" spans="1:13" ht="15" customHeight="1">
      <c r="A54" s="51">
        <f t="shared" si="2"/>
        <v>10</v>
      </c>
      <c r="B54" s="51">
        <f t="shared" si="1"/>
        <v>1</v>
      </c>
      <c r="C54">
        <v>11</v>
      </c>
      <c r="E54" s="68">
        <v>5</v>
      </c>
      <c r="F54">
        <v>3</v>
      </c>
      <c r="H54" t="s">
        <v>200</v>
      </c>
      <c r="I54">
        <v>1</v>
      </c>
      <c r="K54" t="s">
        <v>200</v>
      </c>
      <c r="M54">
        <v>1</v>
      </c>
    </row>
    <row r="55" spans="1:13" ht="15" customHeight="1">
      <c r="A55" s="51">
        <f t="shared" si="2"/>
        <v>11</v>
      </c>
      <c r="B55" s="51">
        <f t="shared" si="1"/>
        <v>1.1</v>
      </c>
      <c r="C55">
        <v>12</v>
      </c>
      <c r="E55" s="68">
        <v>10</v>
      </c>
      <c r="F55">
        <v>5.5</v>
      </c>
      <c r="H55">
        <v>1</v>
      </c>
      <c r="I55">
        <v>3</v>
      </c>
      <c r="K55" t="s">
        <v>505</v>
      </c>
      <c r="M55">
        <v>1</v>
      </c>
    </row>
    <row r="56" spans="1:13" ht="15" customHeight="1">
      <c r="A56" s="51">
        <f t="shared" si="2"/>
        <v>12</v>
      </c>
      <c r="B56" s="51">
        <f t="shared" si="1"/>
        <v>1.2</v>
      </c>
      <c r="C56">
        <v>12</v>
      </c>
      <c r="E56" s="68">
        <v>30</v>
      </c>
      <c r="F56">
        <v>15.5</v>
      </c>
      <c r="H56">
        <v>2</v>
      </c>
      <c r="I56">
        <v>4</v>
      </c>
      <c r="K56" t="s">
        <v>497</v>
      </c>
      <c r="M56">
        <v>1.8</v>
      </c>
    </row>
    <row r="57" spans="1:9" ht="15" customHeight="1">
      <c r="A57" s="51">
        <f t="shared" si="2"/>
        <v>13</v>
      </c>
      <c r="B57" s="51">
        <f t="shared" si="1"/>
        <v>1.3</v>
      </c>
      <c r="C57">
        <v>13</v>
      </c>
      <c r="E57" s="68">
        <v>50</v>
      </c>
      <c r="F57">
        <v>25.5</v>
      </c>
      <c r="H57">
        <v>3</v>
      </c>
      <c r="I57">
        <v>5</v>
      </c>
    </row>
    <row r="58" spans="1:13" ht="15" customHeight="1">
      <c r="A58" s="51">
        <f t="shared" si="2"/>
        <v>14</v>
      </c>
      <c r="B58" s="51">
        <f t="shared" si="1"/>
        <v>1.4</v>
      </c>
      <c r="C58">
        <v>13</v>
      </c>
      <c r="H58">
        <v>4</v>
      </c>
      <c r="I58">
        <v>6</v>
      </c>
      <c r="K58" t="s">
        <v>200</v>
      </c>
      <c r="M58">
        <v>1</v>
      </c>
    </row>
    <row r="59" spans="1:13" ht="15" customHeight="1">
      <c r="A59" s="51">
        <f t="shared" si="2"/>
        <v>15</v>
      </c>
      <c r="B59" s="51">
        <f t="shared" si="1"/>
        <v>1.5</v>
      </c>
      <c r="C59">
        <v>14</v>
      </c>
      <c r="H59">
        <v>5</v>
      </c>
      <c r="I59">
        <v>7</v>
      </c>
      <c r="K59" t="s">
        <v>506</v>
      </c>
      <c r="M59">
        <v>0.5</v>
      </c>
    </row>
    <row r="60" spans="1:13" ht="15" customHeight="1">
      <c r="A60" s="51">
        <f t="shared" si="2"/>
        <v>16</v>
      </c>
      <c r="B60" s="51">
        <f t="shared" si="1"/>
        <v>1.6</v>
      </c>
      <c r="C60">
        <v>14</v>
      </c>
      <c r="H60">
        <v>6</v>
      </c>
      <c r="I60">
        <v>7.5</v>
      </c>
      <c r="K60" t="s">
        <v>507</v>
      </c>
      <c r="M60">
        <v>0.5</v>
      </c>
    </row>
    <row r="61" spans="1:13" ht="15" customHeight="1">
      <c r="A61" s="51">
        <f t="shared" si="2"/>
        <v>17</v>
      </c>
      <c r="B61" s="51">
        <f t="shared" si="1"/>
        <v>1.7</v>
      </c>
      <c r="C61">
        <v>14</v>
      </c>
      <c r="H61">
        <v>7</v>
      </c>
      <c r="I61">
        <v>8</v>
      </c>
      <c r="K61" t="s">
        <v>508</v>
      </c>
      <c r="M61">
        <v>1</v>
      </c>
    </row>
    <row r="62" spans="1:9" ht="15" customHeight="1">
      <c r="A62" s="51">
        <f t="shared" si="2"/>
        <v>18</v>
      </c>
      <c r="B62" s="51">
        <f t="shared" si="1"/>
        <v>1.8</v>
      </c>
      <c r="C62">
        <v>15</v>
      </c>
      <c r="H62">
        <v>8</v>
      </c>
      <c r="I62">
        <v>8.5</v>
      </c>
    </row>
    <row r="63" spans="1:9" ht="15" customHeight="1">
      <c r="A63" s="51">
        <f t="shared" si="2"/>
        <v>19</v>
      </c>
      <c r="B63" s="51">
        <f t="shared" si="1"/>
        <v>1.9</v>
      </c>
      <c r="C63">
        <v>15</v>
      </c>
      <c r="H63">
        <v>9</v>
      </c>
      <c r="I63">
        <v>9</v>
      </c>
    </row>
    <row r="64" spans="1:9" ht="15" customHeight="1">
      <c r="A64" s="51">
        <f t="shared" si="2"/>
        <v>20</v>
      </c>
      <c r="B64" s="51">
        <f t="shared" si="1"/>
        <v>2</v>
      </c>
      <c r="C64">
        <v>16</v>
      </c>
      <c r="H64">
        <v>10</v>
      </c>
      <c r="I64">
        <v>10</v>
      </c>
    </row>
    <row r="65" spans="8:9" ht="15" customHeight="1">
      <c r="H65">
        <v>20</v>
      </c>
      <c r="I65">
        <v>20</v>
      </c>
    </row>
    <row r="67" spans="1:7" ht="15" customHeight="1">
      <c r="A67" s="66" t="s">
        <v>509</v>
      </c>
      <c r="D67" t="s">
        <v>510</v>
      </c>
      <c r="G67" t="s">
        <v>188</v>
      </c>
    </row>
    <row r="68" spans="1:8" ht="15" customHeight="1">
      <c r="A68">
        <v>1</v>
      </c>
      <c r="B68">
        <v>3</v>
      </c>
      <c r="D68">
        <v>1</v>
      </c>
      <c r="E68">
        <v>1</v>
      </c>
      <c r="G68">
        <v>1</v>
      </c>
      <c r="H68">
        <v>1</v>
      </c>
    </row>
    <row r="69" spans="1:8" ht="15" customHeight="1">
      <c r="A69">
        <v>2</v>
      </c>
      <c r="B69">
        <v>4</v>
      </c>
      <c r="D69">
        <v>2</v>
      </c>
      <c r="E69">
        <v>1.2</v>
      </c>
      <c r="G69">
        <v>2</v>
      </c>
      <c r="H69">
        <v>1.5</v>
      </c>
    </row>
    <row r="70" spans="1:8" ht="15" customHeight="1">
      <c r="A70">
        <v>3</v>
      </c>
      <c r="B70">
        <v>5</v>
      </c>
      <c r="D70">
        <v>3</v>
      </c>
      <c r="E70">
        <v>1.4</v>
      </c>
      <c r="G70">
        <v>3</v>
      </c>
      <c r="H70">
        <v>2</v>
      </c>
    </row>
    <row r="71" spans="1:8" ht="15" customHeight="1">
      <c r="A71">
        <v>4</v>
      </c>
      <c r="B71">
        <v>6</v>
      </c>
      <c r="D71">
        <v>4</v>
      </c>
      <c r="E71">
        <v>1.6</v>
      </c>
      <c r="G71">
        <v>4</v>
      </c>
      <c r="H71">
        <v>2.5</v>
      </c>
    </row>
    <row r="72" spans="1:8" ht="15" customHeight="1">
      <c r="A72">
        <v>5</v>
      </c>
      <c r="B72">
        <v>7</v>
      </c>
      <c r="G72">
        <v>5</v>
      </c>
      <c r="H72">
        <v>3</v>
      </c>
    </row>
    <row r="73" spans="1:8" ht="15" customHeight="1">
      <c r="A73">
        <v>6</v>
      </c>
      <c r="B73">
        <v>7</v>
      </c>
      <c r="D73" s="65" t="s">
        <v>185</v>
      </c>
      <c r="G73">
        <v>6</v>
      </c>
      <c r="H73">
        <v>3.5</v>
      </c>
    </row>
    <row r="74" spans="1:8" ht="15" customHeight="1">
      <c r="A74">
        <v>7</v>
      </c>
      <c r="B74">
        <v>8</v>
      </c>
      <c r="D74" s="68">
        <v>0</v>
      </c>
      <c r="E74">
        <v>0.5</v>
      </c>
      <c r="G74">
        <v>7</v>
      </c>
      <c r="H74">
        <v>4</v>
      </c>
    </row>
    <row r="75" spans="1:8" ht="15" customHeight="1">
      <c r="A75">
        <v>8</v>
      </c>
      <c r="B75">
        <v>8</v>
      </c>
      <c r="D75" s="68">
        <v>0.25</v>
      </c>
      <c r="E75">
        <v>0.62</v>
      </c>
      <c r="G75">
        <v>8</v>
      </c>
      <c r="H75">
        <v>4.5</v>
      </c>
    </row>
    <row r="76" spans="1:5" ht="15" customHeight="1">
      <c r="A76">
        <v>9</v>
      </c>
      <c r="B76">
        <v>9</v>
      </c>
      <c r="D76" s="68">
        <v>0.5</v>
      </c>
      <c r="E76">
        <v>0.75</v>
      </c>
    </row>
    <row r="77" spans="1:10" ht="15" customHeight="1">
      <c r="A77">
        <v>10</v>
      </c>
      <c r="B77">
        <v>9</v>
      </c>
      <c r="D77" s="68">
        <v>0.75</v>
      </c>
      <c r="E77">
        <v>0.88</v>
      </c>
      <c r="H77" t="s">
        <v>216</v>
      </c>
      <c r="J77">
        <v>1</v>
      </c>
    </row>
    <row r="78" spans="1:10" ht="15" customHeight="1">
      <c r="A78">
        <v>11</v>
      </c>
      <c r="B78">
        <v>10</v>
      </c>
      <c r="D78" s="68">
        <v>1</v>
      </c>
      <c r="E78">
        <v>1</v>
      </c>
      <c r="H78" t="s">
        <v>511</v>
      </c>
      <c r="J78">
        <v>0.5</v>
      </c>
    </row>
    <row r="79" spans="1:10" ht="15" customHeight="1">
      <c r="A79">
        <v>12</v>
      </c>
      <c r="B79">
        <v>10</v>
      </c>
      <c r="D79" s="68">
        <v>1.25</v>
      </c>
      <c r="E79">
        <v>1.12</v>
      </c>
      <c r="H79" t="s">
        <v>512</v>
      </c>
      <c r="J79">
        <v>1.4</v>
      </c>
    </row>
    <row r="80" spans="1:10" ht="15" customHeight="1">
      <c r="A80">
        <v>13</v>
      </c>
      <c r="B80">
        <v>11</v>
      </c>
      <c r="D80" s="68">
        <v>1.5</v>
      </c>
      <c r="E80">
        <v>1.15</v>
      </c>
      <c r="H80" t="s">
        <v>479</v>
      </c>
      <c r="J80">
        <v>1</v>
      </c>
    </row>
    <row r="81" spans="1:10" ht="15" customHeight="1">
      <c r="A81">
        <v>14</v>
      </c>
      <c r="B81">
        <v>11</v>
      </c>
      <c r="D81" s="68">
        <v>1.75</v>
      </c>
      <c r="E81">
        <v>1.38</v>
      </c>
      <c r="H81" t="s">
        <v>482</v>
      </c>
      <c r="J81">
        <v>1.8</v>
      </c>
    </row>
    <row r="82" spans="1:10" ht="15" customHeight="1">
      <c r="A82">
        <v>15</v>
      </c>
      <c r="B82">
        <v>12</v>
      </c>
      <c r="D82" s="68">
        <v>2</v>
      </c>
      <c r="E82">
        <v>1.5</v>
      </c>
      <c r="H82" t="s">
        <v>513</v>
      </c>
      <c r="J82">
        <v>1.6</v>
      </c>
    </row>
    <row r="83" spans="1:10" ht="15" customHeight="1">
      <c r="A83">
        <v>16</v>
      </c>
      <c r="B83">
        <v>12</v>
      </c>
      <c r="D83" s="68">
        <v>2.5</v>
      </c>
      <c r="E83">
        <v>1.75</v>
      </c>
      <c r="H83" t="s">
        <v>487</v>
      </c>
      <c r="J83">
        <v>2.6</v>
      </c>
    </row>
    <row r="84" spans="1:5" ht="15" customHeight="1">
      <c r="A84">
        <v>17</v>
      </c>
      <c r="B84">
        <v>12</v>
      </c>
      <c r="D84" s="68">
        <v>3</v>
      </c>
      <c r="E84">
        <v>2</v>
      </c>
    </row>
    <row r="85" spans="1:2" ht="15" customHeight="1">
      <c r="A85">
        <v>18</v>
      </c>
      <c r="B85">
        <v>13</v>
      </c>
    </row>
    <row r="86" spans="1:2" ht="15" customHeight="1">
      <c r="A86">
        <v>19</v>
      </c>
      <c r="B86">
        <v>13</v>
      </c>
    </row>
    <row r="87" spans="1:2" ht="15" customHeight="1">
      <c r="A87">
        <v>20</v>
      </c>
      <c r="B87">
        <v>13</v>
      </c>
    </row>
    <row r="89" ht="15" customHeight="1">
      <c r="A89" s="66" t="s">
        <v>514</v>
      </c>
    </row>
    <row r="90" spans="1:5" ht="15" customHeight="1">
      <c r="A90" t="s">
        <v>200</v>
      </c>
      <c r="C90">
        <v>1</v>
      </c>
      <c r="E90" t="s">
        <v>515</v>
      </c>
    </row>
    <row r="91" spans="1:6" ht="15" customHeight="1">
      <c r="A91" t="s">
        <v>516</v>
      </c>
      <c r="C91">
        <v>1</v>
      </c>
      <c r="E91" t="s">
        <v>200</v>
      </c>
      <c r="F91">
        <v>1</v>
      </c>
    </row>
    <row r="92" spans="1:6" ht="15" customHeight="1">
      <c r="A92" t="s">
        <v>517</v>
      </c>
      <c r="C92">
        <v>0.5</v>
      </c>
      <c r="E92" t="s">
        <v>518</v>
      </c>
      <c r="F92">
        <v>6</v>
      </c>
    </row>
    <row r="93" spans="1:6" ht="15" customHeight="1">
      <c r="A93" t="s">
        <v>519</v>
      </c>
      <c r="C93">
        <v>0.5</v>
      </c>
      <c r="E93" t="s">
        <v>520</v>
      </c>
      <c r="F93">
        <v>8</v>
      </c>
    </row>
    <row r="94" spans="1:6" ht="15" customHeight="1">
      <c r="A94" t="s">
        <v>521</v>
      </c>
      <c r="C94">
        <v>3</v>
      </c>
      <c r="E94" t="s">
        <v>522</v>
      </c>
      <c r="F94">
        <v>10</v>
      </c>
    </row>
    <row r="95" spans="1:6" ht="15" customHeight="1">
      <c r="A95" t="s">
        <v>523</v>
      </c>
      <c r="C95">
        <v>3</v>
      </c>
      <c r="E95" t="s">
        <v>524</v>
      </c>
      <c r="F95">
        <v>12</v>
      </c>
    </row>
    <row r="96" spans="1:6" ht="15" customHeight="1">
      <c r="A96" t="s">
        <v>525</v>
      </c>
      <c r="C96">
        <v>3</v>
      </c>
      <c r="E96" t="s">
        <v>526</v>
      </c>
      <c r="F96">
        <v>14</v>
      </c>
    </row>
    <row r="97" spans="1:3" ht="15" customHeight="1">
      <c r="A97" t="s">
        <v>527</v>
      </c>
      <c r="C97">
        <v>4</v>
      </c>
    </row>
    <row r="98" spans="1:3" ht="15" customHeight="1">
      <c r="A98" t="s">
        <v>528</v>
      </c>
      <c r="C98">
        <v>4</v>
      </c>
    </row>
    <row r="99" spans="1:3" ht="15" customHeight="1">
      <c r="A99" t="s">
        <v>529</v>
      </c>
      <c r="C99">
        <v>4</v>
      </c>
    </row>
    <row r="100" spans="1:3" ht="15" customHeight="1">
      <c r="A100" t="s">
        <v>530</v>
      </c>
      <c r="C100">
        <v>6</v>
      </c>
    </row>
    <row r="101" spans="1:3" ht="15" customHeight="1">
      <c r="A101" t="s">
        <v>499</v>
      </c>
      <c r="C101">
        <v>4</v>
      </c>
    </row>
    <row r="102" spans="1:3" ht="15" customHeight="1">
      <c r="A102" t="s">
        <v>531</v>
      </c>
      <c r="C102">
        <v>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O97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3.421875" style="0" customWidth="1"/>
    <col min="2" max="2" width="10.00390625" style="0" customWidth="1"/>
    <col min="3" max="3" width="11.421875" style="0" customWidth="1"/>
    <col min="4" max="4" width="13.28125" style="0" customWidth="1"/>
    <col min="5" max="5" width="13.421875" style="0" customWidth="1"/>
    <col min="6" max="6" width="13.140625" style="0" customWidth="1"/>
    <col min="8" max="8" width="13.57421875" style="0" customWidth="1"/>
    <col min="9" max="9" width="11.28125" style="0" customWidth="1"/>
    <col min="10" max="10" width="10.7109375" style="0" customWidth="1"/>
    <col min="11" max="11" width="11.00390625" style="0" customWidth="1"/>
  </cols>
  <sheetData>
    <row r="1" ht="15" customHeight="1">
      <c r="B1" s="71" t="s">
        <v>532</v>
      </c>
    </row>
    <row r="3" spans="2:11" ht="15" customHeight="1">
      <c r="B3" s="7" t="s">
        <v>379</v>
      </c>
      <c r="C3" s="8" t="s">
        <v>22</v>
      </c>
      <c r="D3" s="8" t="s">
        <v>533</v>
      </c>
      <c r="E3" s="8" t="s">
        <v>534</v>
      </c>
      <c r="F3" s="8" t="s">
        <v>535</v>
      </c>
      <c r="G3" s="94" t="s">
        <v>467</v>
      </c>
      <c r="H3" s="8" t="s">
        <v>189</v>
      </c>
      <c r="I3" s="8" t="s">
        <v>188</v>
      </c>
      <c r="J3" s="8" t="s">
        <v>536</v>
      </c>
      <c r="K3" s="6" t="s">
        <v>537</v>
      </c>
    </row>
    <row r="4" spans="2:11" ht="15" customHeight="1">
      <c r="B4" s="73">
        <v>20</v>
      </c>
      <c r="C4" s="16">
        <f>INDEX('Weapon Data'!B3:B22,B4)</f>
        <v>30</v>
      </c>
      <c r="D4" s="16">
        <f>INDEX('Weapon Data'!C3:C22,B4)</f>
        <v>18</v>
      </c>
      <c r="E4" s="41">
        <v>10</v>
      </c>
      <c r="F4" s="41">
        <f>D4*INDEX('Weapon Data'!E3:E12,E4)</f>
        <v>54</v>
      </c>
      <c r="G4" s="16">
        <v>4</v>
      </c>
      <c r="H4" s="41">
        <v>7</v>
      </c>
      <c r="I4" s="41">
        <v>9</v>
      </c>
      <c r="J4" s="41">
        <v>4</v>
      </c>
      <c r="K4" s="11">
        <v>1</v>
      </c>
    </row>
    <row r="5" spans="2:11" ht="15" customHeight="1">
      <c r="B5" s="10" t="s">
        <v>469</v>
      </c>
      <c r="C5" s="16"/>
      <c r="D5" s="48"/>
      <c r="E5" s="48">
        <f>INDEX('Weapon Data'!F3:F12,E4)</f>
        <v>2</v>
      </c>
      <c r="F5" s="48"/>
      <c r="G5" s="48">
        <f>INDEX('Weapon Data'!I3:I8,G4)</f>
        <v>1</v>
      </c>
      <c r="H5" s="48">
        <f>INDEX('Weapon Data'!I12:I18,H4)</f>
        <v>1</v>
      </c>
      <c r="I5" s="48">
        <f>INDEX('Weapon Data'!L12:L20,I4)</f>
        <v>5</v>
      </c>
      <c r="J5" s="48">
        <f>INDEX('Weapon Data'!F16:F19,J4)</f>
        <v>0.6</v>
      </c>
      <c r="K5" s="74">
        <f>INDEX('Weapon Data'!L3:L8,K4)</f>
        <v>1</v>
      </c>
    </row>
    <row r="6" spans="2:11" ht="15" customHeight="1">
      <c r="B6" s="10">
        <v>1</v>
      </c>
      <c r="C6" s="16"/>
      <c r="D6" s="16" t="s">
        <v>538</v>
      </c>
      <c r="E6" s="41">
        <v>1</v>
      </c>
      <c r="F6" s="16" t="s">
        <v>539</v>
      </c>
      <c r="G6" s="16">
        <v>1</v>
      </c>
      <c r="H6" s="16" t="s">
        <v>540</v>
      </c>
      <c r="I6" s="16">
        <v>2</v>
      </c>
      <c r="J6" s="16" t="s">
        <v>541</v>
      </c>
      <c r="K6" s="11">
        <v>1</v>
      </c>
    </row>
    <row r="7" spans="2:11" ht="15" customHeight="1">
      <c r="B7" s="10">
        <f>INDEX('Weapon Data'!P3:P9,B6)</f>
        <v>1</v>
      </c>
      <c r="C7" s="16"/>
      <c r="D7" s="16"/>
      <c r="E7" s="48">
        <f>IF(E6-1,0.9,1)</f>
        <v>1</v>
      </c>
      <c r="F7" s="48"/>
      <c r="G7" s="48">
        <f>IF(G6-1,1,1)</f>
        <v>1</v>
      </c>
      <c r="H7" s="48"/>
      <c r="I7" s="48">
        <f>IF(I6-1,1.33,1)</f>
        <v>1.33</v>
      </c>
      <c r="J7" s="48"/>
      <c r="K7" s="74">
        <f>IF(K6-1,0.2,1)</f>
        <v>1</v>
      </c>
    </row>
    <row r="8" spans="2:11" ht="15" customHeight="1">
      <c r="B8" s="10"/>
      <c r="C8" s="16" t="s">
        <v>542</v>
      </c>
      <c r="D8" s="41">
        <v>1</v>
      </c>
      <c r="E8" s="16" t="s">
        <v>543</v>
      </c>
      <c r="F8" s="41">
        <v>2</v>
      </c>
      <c r="G8" s="16" t="s">
        <v>527</v>
      </c>
      <c r="H8" s="16">
        <v>2</v>
      </c>
      <c r="I8" s="16"/>
      <c r="J8" s="16"/>
      <c r="K8" s="11"/>
    </row>
    <row r="9" spans="2:11" ht="15" customHeight="1">
      <c r="B9" s="10"/>
      <c r="C9" s="16"/>
      <c r="D9" s="48">
        <f>IF(D8-1,10,1)</f>
        <v>1</v>
      </c>
      <c r="E9" s="48"/>
      <c r="F9" s="48">
        <f>IF(F8-1,2,1)</f>
        <v>2</v>
      </c>
      <c r="G9" s="16"/>
      <c r="H9" s="16">
        <f>IF(H8-1,2,1)</f>
        <v>2</v>
      </c>
      <c r="I9" s="16"/>
      <c r="J9" s="16"/>
      <c r="K9" s="11"/>
    </row>
    <row r="10" spans="2:11" ht="15" customHeight="1">
      <c r="B10" s="10"/>
      <c r="C10" s="16"/>
      <c r="D10" s="37" t="s">
        <v>544</v>
      </c>
      <c r="E10" s="16">
        <f>C4*E5*G5*H5*I5*J5*K5*B7*E7*G7*I7*K7*D9*F9*H9</f>
        <v>957.6</v>
      </c>
      <c r="F10" s="16"/>
      <c r="G10" s="16"/>
      <c r="H10" s="16"/>
      <c r="I10" s="16"/>
      <c r="J10" s="16"/>
      <c r="K10" s="11"/>
    </row>
    <row r="11" spans="2:11" ht="15" customHeight="1">
      <c r="B11" s="10"/>
      <c r="C11" s="16"/>
      <c r="D11" s="37" t="s">
        <v>545</v>
      </c>
      <c r="E11" s="145">
        <v>956.6</v>
      </c>
      <c r="F11" s="16"/>
      <c r="G11" s="37" t="s">
        <v>546</v>
      </c>
      <c r="H11" s="16">
        <f>E10-E11</f>
        <v>1</v>
      </c>
      <c r="I11" s="16"/>
      <c r="J11" s="16"/>
      <c r="K11" s="11"/>
    </row>
    <row r="12" spans="2:11" ht="15" customHeight="1">
      <c r="B12" s="10"/>
      <c r="C12" s="16"/>
      <c r="D12" s="16"/>
      <c r="E12" s="16"/>
      <c r="F12" s="16"/>
      <c r="G12" s="37" t="s">
        <v>547</v>
      </c>
      <c r="H12" s="16">
        <f>E10+(0.5*E11)</f>
        <v>1435.9</v>
      </c>
      <c r="I12" s="16"/>
      <c r="J12" s="16"/>
      <c r="K12" s="11"/>
    </row>
    <row r="13" spans="2:11" ht="15" customHeight="1">
      <c r="B13" s="10"/>
      <c r="C13" s="16"/>
      <c r="D13" s="16"/>
      <c r="E13" s="16"/>
      <c r="F13" s="16"/>
      <c r="G13" s="16"/>
      <c r="H13" s="16"/>
      <c r="I13" s="16"/>
      <c r="J13" s="16"/>
      <c r="K13" s="11"/>
    </row>
    <row r="14" spans="2:11" ht="15" customHeight="1">
      <c r="B14" s="25"/>
      <c r="C14" s="26"/>
      <c r="D14" s="26"/>
      <c r="E14" s="26"/>
      <c r="F14" s="26"/>
      <c r="G14" s="26"/>
      <c r="H14" s="26"/>
      <c r="I14" s="26"/>
      <c r="J14" s="26"/>
      <c r="K14" s="22"/>
    </row>
    <row r="16" spans="2:13" ht="15" customHeight="1">
      <c r="B16" s="5" t="s">
        <v>548</v>
      </c>
      <c r="C16" s="8" t="s">
        <v>187</v>
      </c>
      <c r="D16" s="8" t="s">
        <v>185</v>
      </c>
      <c r="E16" s="8" t="s">
        <v>379</v>
      </c>
      <c r="F16" s="8" t="s">
        <v>189</v>
      </c>
      <c r="G16" s="8" t="s">
        <v>26</v>
      </c>
      <c r="H16" s="8" t="s">
        <v>188</v>
      </c>
      <c r="I16" s="8" t="s">
        <v>24</v>
      </c>
      <c r="J16" s="8" t="s">
        <v>25</v>
      </c>
      <c r="K16" s="8" t="s">
        <v>380</v>
      </c>
      <c r="L16" s="75" t="s">
        <v>382</v>
      </c>
      <c r="M16" s="6"/>
    </row>
    <row r="17" spans="2:13" ht="15" customHeight="1">
      <c r="B17" s="25"/>
      <c r="C17" s="26">
        <f>INDEX('Weapon Data'!H3:H8,G4)</f>
        <v>1</v>
      </c>
      <c r="D17" s="26">
        <f>F4</f>
        <v>54</v>
      </c>
      <c r="E17" s="26">
        <f>B4</f>
        <v>20</v>
      </c>
      <c r="F17" s="26" t="str">
        <f>INDEX('Weapon Data'!H12:H18,H4)</f>
        <v>Unlim</v>
      </c>
      <c r="G17" s="26">
        <f>E17</f>
        <v>20</v>
      </c>
      <c r="H17" s="26" t="e">
        <f>I18+INDEX('Weapon Data'!K12:K20,I4)</f>
        <v>#VALUE!</v>
      </c>
      <c r="I17" s="26">
        <f>H12</f>
        <v>1435.9</v>
      </c>
      <c r="J17" s="26">
        <f>H11</f>
        <v>1</v>
      </c>
      <c r="K17" s="26" t="str">
        <f>IF(E6-1,1,"'N/A")</f>
        <v>'N/A</v>
      </c>
      <c r="L17" s="26"/>
      <c r="M17" s="22"/>
    </row>
    <row r="20" ht="15" customHeight="1">
      <c r="B20" s="71" t="s">
        <v>549</v>
      </c>
    </row>
    <row r="22" spans="2:12" ht="15" customHeight="1">
      <c r="B22" s="7" t="s">
        <v>379</v>
      </c>
      <c r="C22" s="8" t="s">
        <v>22</v>
      </c>
      <c r="D22" s="72" t="s">
        <v>187</v>
      </c>
      <c r="E22" s="72" t="s">
        <v>550</v>
      </c>
      <c r="F22" s="8" t="s">
        <v>494</v>
      </c>
      <c r="G22" s="8"/>
      <c r="H22" s="8" t="s">
        <v>551</v>
      </c>
      <c r="I22" s="8" t="s">
        <v>552</v>
      </c>
      <c r="J22" s="8" t="s">
        <v>553</v>
      </c>
      <c r="K22" s="8" t="s">
        <v>554</v>
      </c>
      <c r="L22" s="6"/>
    </row>
    <row r="23" spans="2:12" ht="15" customHeight="1">
      <c r="B23" s="73">
        <v>20</v>
      </c>
      <c r="C23" s="16">
        <f>B23</f>
        <v>20</v>
      </c>
      <c r="D23" s="47">
        <v>5</v>
      </c>
      <c r="E23" s="48">
        <v>8</v>
      </c>
      <c r="F23" s="48">
        <v>1</v>
      </c>
      <c r="G23" s="48"/>
      <c r="H23" s="76">
        <v>2</v>
      </c>
      <c r="I23" s="48">
        <v>1</v>
      </c>
      <c r="J23" s="48">
        <v>1</v>
      </c>
      <c r="K23" s="48">
        <v>1</v>
      </c>
      <c r="L23" s="11"/>
    </row>
    <row r="24" spans="2:12" ht="15" customHeight="1">
      <c r="B24" s="10"/>
      <c r="C24" s="16"/>
      <c r="D24" s="48">
        <f>INDEX('Weapon Data'!B27:B32,D23)</f>
        <v>1.5</v>
      </c>
      <c r="E24" s="48">
        <f>INDEX('Weapon Data'!H27:H34,E23)</f>
        <v>1</v>
      </c>
      <c r="F24" s="48">
        <f>INDEX('Weapon Data'!E27:E32,F23)</f>
        <v>1</v>
      </c>
      <c r="G24" s="48"/>
      <c r="H24" s="48">
        <f>IF(H23-1,1.1,1)</f>
        <v>1.1</v>
      </c>
      <c r="I24" s="48">
        <f>IF(I23-1,1.2,1)</f>
        <v>1</v>
      </c>
      <c r="J24" s="48">
        <f>IF(J23-1,2,1)</f>
        <v>1</v>
      </c>
      <c r="K24" s="48">
        <f>IF(K23-1,7.5,1)</f>
        <v>1</v>
      </c>
      <c r="L24" s="11"/>
    </row>
    <row r="25" spans="2:12" ht="15" customHeight="1">
      <c r="B25" s="10" t="s">
        <v>555</v>
      </c>
      <c r="C25" s="16"/>
      <c r="D25" s="16"/>
      <c r="E25" s="16"/>
      <c r="F25" s="16"/>
      <c r="G25" s="16"/>
      <c r="H25" s="16"/>
      <c r="I25" s="16"/>
      <c r="J25" s="16"/>
      <c r="K25" s="16"/>
      <c r="L25" s="11"/>
    </row>
    <row r="26" spans="2:12" ht="15" customHeight="1">
      <c r="B26" s="10">
        <v>2</v>
      </c>
      <c r="C26" s="16"/>
      <c r="D26" s="16"/>
      <c r="E26" s="16"/>
      <c r="F26" s="16"/>
      <c r="G26" s="16"/>
      <c r="H26" s="16"/>
      <c r="I26" s="16"/>
      <c r="J26" s="16"/>
      <c r="K26" s="16"/>
      <c r="L26" s="11"/>
    </row>
    <row r="27" spans="2:12" ht="15" customHeight="1">
      <c r="B27" s="77">
        <f>INDEX('Weapon Data'!K27:K29,B26)</f>
        <v>1.5</v>
      </c>
      <c r="C27" s="16"/>
      <c r="D27" s="37" t="s">
        <v>544</v>
      </c>
      <c r="E27" s="16">
        <f>C23*D24*E24*F24*H24*I24*J24*K24*B27</f>
        <v>49.5</v>
      </c>
      <c r="F27" s="16"/>
      <c r="G27" s="37" t="s">
        <v>546</v>
      </c>
      <c r="H27" s="16">
        <f>E27-E28</f>
        <v>20.8</v>
      </c>
      <c r="I27" s="16"/>
      <c r="J27" s="16"/>
      <c r="K27" s="16"/>
      <c r="L27" s="11"/>
    </row>
    <row r="28" spans="2:12" ht="15" customHeight="1">
      <c r="B28" s="10"/>
      <c r="C28" s="16"/>
      <c r="D28" s="37" t="s">
        <v>545</v>
      </c>
      <c r="E28" s="145">
        <v>28.7</v>
      </c>
      <c r="F28" s="16"/>
      <c r="G28" s="37" t="s">
        <v>547</v>
      </c>
      <c r="H28" s="16">
        <f>E27+(0.5*E28)</f>
        <v>63.85</v>
      </c>
      <c r="I28" s="16"/>
      <c r="J28" s="16"/>
      <c r="K28" s="16"/>
      <c r="L28" s="11"/>
    </row>
    <row r="29" spans="2:12" ht="15" customHeight="1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2"/>
    </row>
    <row r="31" spans="2:13" ht="15" customHeight="1">
      <c r="B31" s="5" t="s">
        <v>378</v>
      </c>
      <c r="C31" s="72" t="s">
        <v>187</v>
      </c>
      <c r="D31" s="8" t="s">
        <v>185</v>
      </c>
      <c r="E31" s="8" t="s">
        <v>379</v>
      </c>
      <c r="F31" s="8" t="s">
        <v>189</v>
      </c>
      <c r="G31" s="8" t="s">
        <v>26</v>
      </c>
      <c r="H31" s="8" t="s">
        <v>188</v>
      </c>
      <c r="I31" s="8" t="s">
        <v>24</v>
      </c>
      <c r="J31" s="8" t="s">
        <v>25</v>
      </c>
      <c r="K31" s="8" t="s">
        <v>380</v>
      </c>
      <c r="L31" s="75" t="s">
        <v>382</v>
      </c>
      <c r="M31" s="6"/>
    </row>
    <row r="32" spans="2:13" ht="15" customHeight="1">
      <c r="B32" s="25"/>
      <c r="C32" s="26">
        <f>INDEX('Weapon Data'!A27:A32,D23)</f>
        <v>2</v>
      </c>
      <c r="D32" s="26">
        <v>1</v>
      </c>
      <c r="E32" s="26">
        <f>B23</f>
        <v>20</v>
      </c>
      <c r="F32" s="26" t="str">
        <f>INDEX('Weapon Data'!G27:G34,E23)</f>
        <v>Unlim</v>
      </c>
      <c r="G32" s="26">
        <f>ROUND(B23/2,0)</f>
        <v>10</v>
      </c>
      <c r="H32" s="26">
        <f>IF(K23-1,"Unlim",0)</f>
        <v>0</v>
      </c>
      <c r="I32" s="26">
        <f>H27</f>
        <v>20.8</v>
      </c>
      <c r="J32" s="26">
        <f>H26</f>
        <v>0</v>
      </c>
      <c r="K32" s="26">
        <f>IF(E21-1,1,"'N/A")</f>
        <v>1</v>
      </c>
      <c r="L32" s="26"/>
      <c r="M32" s="22"/>
    </row>
    <row r="35" ht="15" customHeight="1">
      <c r="B35" s="71" t="s">
        <v>556</v>
      </c>
    </row>
    <row r="37" spans="2:12" ht="15" customHeight="1">
      <c r="B37" s="7" t="s">
        <v>379</v>
      </c>
      <c r="C37" s="8" t="s">
        <v>22</v>
      </c>
      <c r="D37" s="8" t="s">
        <v>187</v>
      </c>
      <c r="E37" s="8" t="s">
        <v>552</v>
      </c>
      <c r="F37" s="8" t="s">
        <v>557</v>
      </c>
      <c r="G37" s="8" t="s">
        <v>558</v>
      </c>
      <c r="H37" s="8" t="s">
        <v>559</v>
      </c>
      <c r="I37" s="8" t="s">
        <v>560</v>
      </c>
      <c r="J37" s="8" t="s">
        <v>543</v>
      </c>
      <c r="K37" s="8" t="s">
        <v>553</v>
      </c>
      <c r="L37" s="6"/>
    </row>
    <row r="38" spans="2:12" ht="15" customHeight="1">
      <c r="B38" s="10">
        <v>10</v>
      </c>
      <c r="C38" s="16">
        <f>B38/2</f>
        <v>5</v>
      </c>
      <c r="D38" s="41">
        <v>3</v>
      </c>
      <c r="E38" s="41">
        <v>1</v>
      </c>
      <c r="F38" s="41">
        <v>1</v>
      </c>
      <c r="G38" s="16">
        <v>2</v>
      </c>
      <c r="H38" s="16">
        <v>1</v>
      </c>
      <c r="I38" s="16">
        <v>1</v>
      </c>
      <c r="J38" s="16">
        <v>1</v>
      </c>
      <c r="K38" s="16">
        <v>2</v>
      </c>
      <c r="L38" s="11"/>
    </row>
    <row r="39" spans="2:12" ht="15" customHeight="1">
      <c r="B39" s="10"/>
      <c r="C39" s="16"/>
      <c r="D39" s="16">
        <f>INDEX('Weapon Data'!B37:B41,D38)</f>
        <v>1</v>
      </c>
      <c r="E39" s="48">
        <f>IF(E38-1,1.2,1)</f>
        <v>1</v>
      </c>
      <c r="F39" s="48">
        <f>IF(F38-1,1.5,1)</f>
        <v>1</v>
      </c>
      <c r="G39" s="48">
        <f>IF(G38-1,1.5,1)</f>
        <v>1.5</v>
      </c>
      <c r="H39" s="48">
        <f>IF(H38-1,0.5,1)</f>
        <v>1</v>
      </c>
      <c r="I39" s="48">
        <f>IF(I38-1,1.25,1)</f>
        <v>1</v>
      </c>
      <c r="J39" s="48">
        <f>IF(J38-1,2,1)</f>
        <v>1</v>
      </c>
      <c r="K39" s="48">
        <f>IF(K38-1,2,1)</f>
        <v>2</v>
      </c>
      <c r="L39" s="11"/>
    </row>
    <row r="40" spans="2:12" ht="15" customHeight="1">
      <c r="B40" s="10" t="s">
        <v>561</v>
      </c>
      <c r="C40" s="16"/>
      <c r="D40" s="16" t="s">
        <v>562</v>
      </c>
      <c r="E40" s="16"/>
      <c r="F40" s="16"/>
      <c r="G40" s="16"/>
      <c r="H40" s="16"/>
      <c r="I40" s="16"/>
      <c r="J40" s="16"/>
      <c r="K40" s="16"/>
      <c r="L40" s="11"/>
    </row>
    <row r="41" spans="2:12" ht="15" customHeight="1">
      <c r="B41" s="10">
        <v>1</v>
      </c>
      <c r="C41" s="16"/>
      <c r="D41" s="41">
        <v>3</v>
      </c>
      <c r="E41" s="16"/>
      <c r="F41" s="16"/>
      <c r="G41" s="16"/>
      <c r="H41" s="16"/>
      <c r="I41" s="16"/>
      <c r="J41" s="16"/>
      <c r="K41" s="16"/>
      <c r="L41" s="11"/>
    </row>
    <row r="42" spans="2:12" ht="15" customHeight="1">
      <c r="B42" s="77">
        <f>IF(B41-1,2,1)</f>
        <v>1</v>
      </c>
      <c r="C42" s="48"/>
      <c r="D42" s="48">
        <f>D41</f>
        <v>3</v>
      </c>
      <c r="E42" s="16"/>
      <c r="F42" s="16"/>
      <c r="G42" s="16"/>
      <c r="H42" s="16"/>
      <c r="I42" s="16"/>
      <c r="J42" s="16"/>
      <c r="K42" s="16"/>
      <c r="L42" s="11"/>
    </row>
    <row r="43" spans="2:12" ht="15" customHeight="1">
      <c r="B43" s="10"/>
      <c r="C43" s="16"/>
      <c r="D43" s="37" t="s">
        <v>544</v>
      </c>
      <c r="E43" s="16">
        <f>C38*E39*D39*F39*G39*H39*I39*J39*K39*B42*D42</f>
        <v>45</v>
      </c>
      <c r="F43" s="16"/>
      <c r="G43" s="37" t="s">
        <v>546</v>
      </c>
      <c r="H43" s="16">
        <f>E43-E44</f>
        <v>45</v>
      </c>
      <c r="I43" s="16"/>
      <c r="J43" s="16"/>
      <c r="K43" s="16"/>
      <c r="L43" s="11"/>
    </row>
    <row r="44" spans="2:12" ht="15" customHeight="1">
      <c r="B44" s="25"/>
      <c r="C44" s="26"/>
      <c r="D44" s="38" t="s">
        <v>671</v>
      </c>
      <c r="E44" s="146">
        <v>0</v>
      </c>
      <c r="F44" s="26"/>
      <c r="G44" s="38" t="s">
        <v>547</v>
      </c>
      <c r="H44" s="26">
        <f>E43+(0.5*E44)</f>
        <v>45</v>
      </c>
      <c r="I44" s="26"/>
      <c r="J44" s="26"/>
      <c r="K44" s="26"/>
      <c r="L44" s="22"/>
    </row>
    <row r="46" spans="2:13" ht="15" customHeight="1">
      <c r="B46" s="5" t="s">
        <v>378</v>
      </c>
      <c r="C46" s="72" t="s">
        <v>187</v>
      </c>
      <c r="D46" s="8" t="s">
        <v>185</v>
      </c>
      <c r="E46" s="8" t="s">
        <v>379</v>
      </c>
      <c r="F46" s="8" t="s">
        <v>189</v>
      </c>
      <c r="G46" s="8" t="s">
        <v>26</v>
      </c>
      <c r="H46" s="8" t="s">
        <v>188</v>
      </c>
      <c r="I46" s="8" t="s">
        <v>24</v>
      </c>
      <c r="J46" s="8" t="s">
        <v>25</v>
      </c>
      <c r="K46" s="8" t="s">
        <v>380</v>
      </c>
      <c r="L46" s="75" t="s">
        <v>382</v>
      </c>
      <c r="M46" s="6"/>
    </row>
    <row r="47" spans="2:13" ht="15" customHeight="1">
      <c r="B47" s="25"/>
      <c r="C47" s="26">
        <f>INDEX('Weapon Data'!A37:A41,D38)</f>
        <v>0</v>
      </c>
      <c r="D47" s="26">
        <v>1</v>
      </c>
      <c r="E47" s="26">
        <f>B38</f>
        <v>10</v>
      </c>
      <c r="F47" s="26" t="s">
        <v>325</v>
      </c>
      <c r="G47" s="26">
        <f>E47</f>
        <v>10</v>
      </c>
      <c r="H47" s="26">
        <f>IF(K38-1,2,0)</f>
        <v>2</v>
      </c>
      <c r="I47" s="26">
        <f>H44</f>
        <v>45</v>
      </c>
      <c r="J47" s="26">
        <f>H43</f>
        <v>45</v>
      </c>
      <c r="K47" s="26">
        <v>0</v>
      </c>
      <c r="L47" s="26"/>
      <c r="M47" s="22"/>
    </row>
    <row r="50" ht="15" customHeight="1">
      <c r="B50" s="71" t="s">
        <v>563</v>
      </c>
    </row>
    <row r="52" spans="2:12" ht="15" customHeight="1">
      <c r="B52" s="7" t="s">
        <v>379</v>
      </c>
      <c r="C52" s="8" t="s">
        <v>22</v>
      </c>
      <c r="D52" s="72" t="s">
        <v>187</v>
      </c>
      <c r="E52" s="8" t="s">
        <v>533</v>
      </c>
      <c r="F52" s="8" t="s">
        <v>564</v>
      </c>
      <c r="G52" s="8" t="s">
        <v>535</v>
      </c>
      <c r="H52" s="8"/>
      <c r="I52" s="8"/>
      <c r="J52" s="8"/>
      <c r="K52" s="8"/>
      <c r="L52" s="6"/>
    </row>
    <row r="53" spans="2:12" ht="15" customHeight="1">
      <c r="B53" s="73">
        <v>10</v>
      </c>
      <c r="C53" s="16">
        <f>INDEX('Weapon Data'!B45:B64,B53)</f>
        <v>1</v>
      </c>
      <c r="D53" s="78">
        <v>5</v>
      </c>
      <c r="E53" s="16">
        <f>INDEX('Weapon Data'!C45:C64,B53)</f>
        <v>11</v>
      </c>
      <c r="F53" s="41">
        <v>2</v>
      </c>
      <c r="G53" s="16">
        <f>E53*INDEX('Weapon Data'!E45:E57,F53)</f>
        <v>2.75</v>
      </c>
      <c r="H53" s="16"/>
      <c r="I53" s="16"/>
      <c r="J53" s="16"/>
      <c r="K53" s="16"/>
      <c r="L53" s="11"/>
    </row>
    <row r="54" spans="2:12" ht="15" customHeight="1">
      <c r="B54" s="73"/>
      <c r="C54" s="16"/>
      <c r="D54" s="48">
        <f>INDEX('Weapon Data'!B37:B41,D53)</f>
        <v>2</v>
      </c>
      <c r="E54" s="48"/>
      <c r="F54" s="48">
        <f>INDEX('Weapon Data'!F45:F57,F53)</f>
        <v>0.62</v>
      </c>
      <c r="G54" s="16"/>
      <c r="H54" s="16"/>
      <c r="I54" s="16"/>
      <c r="J54" s="16"/>
      <c r="K54" s="16"/>
      <c r="L54" s="11"/>
    </row>
    <row r="55" spans="2:12" ht="15" customHeight="1">
      <c r="B55" s="10" t="s">
        <v>565</v>
      </c>
      <c r="C55" s="16" t="s">
        <v>503</v>
      </c>
      <c r="D55" s="16" t="s">
        <v>504</v>
      </c>
      <c r="E55" s="16" t="s">
        <v>566</v>
      </c>
      <c r="F55" s="16"/>
      <c r="G55" s="16" t="s">
        <v>567</v>
      </c>
      <c r="H55" s="16"/>
      <c r="I55" s="16" t="s">
        <v>568</v>
      </c>
      <c r="J55" s="16" t="s">
        <v>569</v>
      </c>
      <c r="K55" s="16"/>
      <c r="L55" s="11" t="s">
        <v>570</v>
      </c>
    </row>
    <row r="56" spans="2:12" ht="15" customHeight="1">
      <c r="B56" s="73">
        <v>3</v>
      </c>
      <c r="C56" s="16">
        <v>4</v>
      </c>
      <c r="D56" s="16">
        <v>2</v>
      </c>
      <c r="E56" s="16">
        <f>ROUNDUP(B53/15,0)</f>
        <v>1</v>
      </c>
      <c r="F56" s="16"/>
      <c r="G56" s="16">
        <v>2</v>
      </c>
      <c r="H56" s="16"/>
      <c r="I56" s="16">
        <v>1</v>
      </c>
      <c r="J56" s="16">
        <v>2</v>
      </c>
      <c r="K56" s="16"/>
      <c r="L56" s="79">
        <v>1</v>
      </c>
    </row>
    <row r="57" spans="2:12" ht="15" customHeight="1">
      <c r="B57" s="77">
        <f>INDEX('Weapon Data'!I45:I49,B56)</f>
        <v>3</v>
      </c>
      <c r="C57" s="48">
        <f>INDEX('Weapon Data'!L45:L51,C56)</f>
        <v>1.6</v>
      </c>
      <c r="D57" s="48">
        <f>INDEX('Weapon Data'!I54:I65,D56)</f>
        <v>3</v>
      </c>
      <c r="E57" s="48"/>
      <c r="F57" s="48"/>
      <c r="G57" s="48">
        <f>IF(G56-1,1.33,1)</f>
        <v>1.33</v>
      </c>
      <c r="H57" s="48"/>
      <c r="I57" s="48">
        <f>IF(I56-1,1.33,1)</f>
        <v>1</v>
      </c>
      <c r="J57" s="48">
        <f>IF(J56-1,1.25,1)</f>
        <v>1.25</v>
      </c>
      <c r="K57" s="48"/>
      <c r="L57" s="74">
        <f>IF(L56-1,0.5,1)</f>
        <v>1</v>
      </c>
    </row>
    <row r="58" spans="2:12" ht="15" customHeight="1">
      <c r="B58" s="10" t="s">
        <v>571</v>
      </c>
      <c r="C58" s="16" t="s">
        <v>572</v>
      </c>
      <c r="D58" s="16"/>
      <c r="E58" s="16" t="s">
        <v>573</v>
      </c>
      <c r="F58" s="16" t="s">
        <v>574</v>
      </c>
      <c r="G58" s="16"/>
      <c r="H58" s="16"/>
      <c r="I58" s="16"/>
      <c r="J58" s="16"/>
      <c r="K58" s="16"/>
      <c r="L58" s="11"/>
    </row>
    <row r="59" spans="2:12" ht="15" customHeight="1">
      <c r="B59" s="10">
        <v>1</v>
      </c>
      <c r="C59" s="16">
        <v>1</v>
      </c>
      <c r="D59" s="16"/>
      <c r="E59" s="41">
        <v>1</v>
      </c>
      <c r="F59" s="41">
        <v>3</v>
      </c>
      <c r="G59" s="16"/>
      <c r="H59" s="16"/>
      <c r="I59" s="16"/>
      <c r="J59" s="16"/>
      <c r="K59" s="16"/>
      <c r="L59" s="11"/>
    </row>
    <row r="60" spans="2:12" ht="15" customHeight="1">
      <c r="B60" s="77">
        <f>IF(B59-1,1.1,1)</f>
        <v>1</v>
      </c>
      <c r="C60" s="48">
        <f>INDEX('Weapon Data'!M58:M61,C59)</f>
        <v>1</v>
      </c>
      <c r="D60" s="48"/>
      <c r="E60" s="48">
        <f>IF(E59-1,1000,1)</f>
        <v>1</v>
      </c>
      <c r="F60" s="48">
        <f>INDEX('Weapon Data'!M54:M56,F59)</f>
        <v>1.8</v>
      </c>
      <c r="G60" s="16"/>
      <c r="H60" s="16"/>
      <c r="I60" s="16"/>
      <c r="J60" s="16"/>
      <c r="K60" s="16"/>
      <c r="L60" s="11"/>
    </row>
    <row r="61" spans="2:12" ht="15" customHeight="1">
      <c r="B61" s="10" t="s">
        <v>575</v>
      </c>
      <c r="C61" s="16"/>
      <c r="D61" s="16" t="s">
        <v>22</v>
      </c>
      <c r="E61" s="16" t="s">
        <v>576</v>
      </c>
      <c r="F61" s="16" t="s">
        <v>59</v>
      </c>
      <c r="G61" s="16"/>
      <c r="H61" s="16" t="s">
        <v>190</v>
      </c>
      <c r="I61" s="16" t="s">
        <v>25</v>
      </c>
      <c r="J61" s="16" t="s">
        <v>24</v>
      </c>
      <c r="K61" s="16"/>
      <c r="L61" s="11"/>
    </row>
    <row r="62" spans="2:12" ht="15" customHeight="1">
      <c r="B62" s="148">
        <v>1</v>
      </c>
      <c r="C62" s="16"/>
      <c r="D62" s="16">
        <f>C53*D54*F54*B57*C57*D57*G57*I57*J57*L57*B60*C60*E60*F60*B62</f>
        <v>53.43408000000001</v>
      </c>
      <c r="E62" s="16">
        <f>ROUNDUP((B53*B62)/15,0)</f>
        <v>1</v>
      </c>
      <c r="F62" s="16">
        <f>IF(E59-1,D62/1000,D62)</f>
        <v>53.43408000000001</v>
      </c>
      <c r="G62" s="16"/>
      <c r="H62" s="145">
        <v>0</v>
      </c>
      <c r="I62" s="16">
        <f>F62-H62</f>
        <v>53.43408000000001</v>
      </c>
      <c r="J62" s="16">
        <f>D62+(0.5*H62)</f>
        <v>53.43408000000001</v>
      </c>
      <c r="K62" s="16"/>
      <c r="L62" s="11"/>
    </row>
    <row r="63" spans="2:12" ht="15" customHeight="1">
      <c r="B63" s="10"/>
      <c r="C63" s="16"/>
      <c r="D63" s="16"/>
      <c r="E63" s="16"/>
      <c r="F63" s="16"/>
      <c r="G63" s="16"/>
      <c r="H63" s="16"/>
      <c r="I63" s="16"/>
      <c r="J63" s="16"/>
      <c r="K63" s="16"/>
      <c r="L63" s="11"/>
    </row>
    <row r="64" spans="2:12" ht="15" customHeight="1"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2"/>
    </row>
    <row r="66" spans="2:13" ht="15" customHeight="1">
      <c r="B66" s="5" t="s">
        <v>378</v>
      </c>
      <c r="C66" s="72" t="s">
        <v>187</v>
      </c>
      <c r="D66" s="8" t="s">
        <v>185</v>
      </c>
      <c r="E66" s="8" t="s">
        <v>379</v>
      </c>
      <c r="F66" s="8" t="s">
        <v>189</v>
      </c>
      <c r="G66" s="8" t="s">
        <v>26</v>
      </c>
      <c r="H66" s="8" t="s">
        <v>188</v>
      </c>
      <c r="I66" s="8" t="s">
        <v>24</v>
      </c>
      <c r="J66" s="8" t="s">
        <v>25</v>
      </c>
      <c r="K66" s="8" t="s">
        <v>380</v>
      </c>
      <c r="L66" s="75" t="s">
        <v>382</v>
      </c>
      <c r="M66" s="6"/>
    </row>
    <row r="67" spans="2:13" ht="15" customHeight="1">
      <c r="B67" s="25"/>
      <c r="C67" s="26">
        <f>INDEX('Weapon Data'!A37:A41,D53)</f>
        <v>2</v>
      </c>
      <c r="D67" s="26">
        <f>G53</f>
        <v>2.75</v>
      </c>
      <c r="E67" s="26">
        <f>B53</f>
        <v>10</v>
      </c>
      <c r="F67" s="26">
        <f>B62</f>
        <v>1</v>
      </c>
      <c r="G67" s="26">
        <f>E62</f>
        <v>1</v>
      </c>
      <c r="H67" s="26">
        <f>B62</f>
        <v>1</v>
      </c>
      <c r="I67" s="26">
        <f>J62</f>
        <v>53.43408000000001</v>
      </c>
      <c r="J67" s="26">
        <f>I62</f>
        <v>53.43408000000001</v>
      </c>
      <c r="K67" s="26">
        <f>J62</f>
        <v>53.43408000000001</v>
      </c>
      <c r="L67" s="26"/>
      <c r="M67" s="22"/>
    </row>
    <row r="69" ht="15" customHeight="1">
      <c r="B69" s="71" t="s">
        <v>577</v>
      </c>
    </row>
    <row r="71" spans="2:12" ht="15" customHeight="1">
      <c r="B71" s="7" t="s">
        <v>379</v>
      </c>
      <c r="C71" s="8" t="s">
        <v>22</v>
      </c>
      <c r="D71" s="72" t="s">
        <v>187</v>
      </c>
      <c r="E71" s="8" t="s">
        <v>533</v>
      </c>
      <c r="F71" s="8" t="s">
        <v>564</v>
      </c>
      <c r="G71" s="8" t="s">
        <v>535</v>
      </c>
      <c r="H71" s="8"/>
      <c r="I71" s="8" t="s">
        <v>510</v>
      </c>
      <c r="J71" s="8" t="s">
        <v>490</v>
      </c>
      <c r="K71" s="8"/>
      <c r="L71" s="6"/>
    </row>
    <row r="72" spans="2:12" ht="15" customHeight="1">
      <c r="B72" s="10">
        <v>20</v>
      </c>
      <c r="C72" s="16">
        <f>B72</f>
        <v>20</v>
      </c>
      <c r="D72" s="16">
        <v>4</v>
      </c>
      <c r="E72" s="16">
        <f>INDEX('Weapon Data'!B68:B87,B72)</f>
        <v>13</v>
      </c>
      <c r="F72" s="41">
        <v>3</v>
      </c>
      <c r="G72" s="16">
        <f>E72*INDEX('Weapon Data'!D74:D84,F72)</f>
        <v>6.5</v>
      </c>
      <c r="H72" s="16"/>
      <c r="I72" s="16">
        <v>1</v>
      </c>
      <c r="J72" s="16">
        <v>3</v>
      </c>
      <c r="K72" s="16"/>
      <c r="L72" s="11"/>
    </row>
    <row r="73" spans="2:12" ht="15" customHeight="1">
      <c r="B73" s="10"/>
      <c r="C73" s="16"/>
      <c r="D73" s="48">
        <f>INDEX('Weapon Data'!B37:B41,D72)</f>
        <v>1.5</v>
      </c>
      <c r="E73" s="48"/>
      <c r="F73" s="48">
        <f>INDEX('Weapon Data'!E74:E84,F72)</f>
        <v>0.75</v>
      </c>
      <c r="G73" s="48"/>
      <c r="H73" s="48"/>
      <c r="I73" s="48">
        <f>INDEX('Weapon Data'!E68:E71,I72)</f>
        <v>1</v>
      </c>
      <c r="J73" s="48">
        <f>INDEX('Weapon Data'!H68:H75,J72)</f>
        <v>2</v>
      </c>
      <c r="K73" s="16"/>
      <c r="L73" s="11"/>
    </row>
    <row r="74" spans="2:12" ht="15" customHeight="1">
      <c r="B74" s="10" t="s">
        <v>567</v>
      </c>
      <c r="C74" s="16"/>
      <c r="D74" s="16" t="s">
        <v>569</v>
      </c>
      <c r="E74" s="16"/>
      <c r="F74" s="16" t="s">
        <v>469</v>
      </c>
      <c r="G74" s="16"/>
      <c r="H74" s="16"/>
      <c r="I74" s="16"/>
      <c r="J74" s="16"/>
      <c r="K74" s="16"/>
      <c r="L74" s="11"/>
    </row>
    <row r="75" spans="2:12" ht="15" customHeight="1">
      <c r="B75" s="73">
        <v>1</v>
      </c>
      <c r="C75" s="16"/>
      <c r="D75" s="41">
        <v>2</v>
      </c>
      <c r="E75" s="16"/>
      <c r="F75" s="16">
        <v>1</v>
      </c>
      <c r="G75" s="16"/>
      <c r="H75" s="16"/>
      <c r="I75" s="16"/>
      <c r="J75" s="16"/>
      <c r="K75" s="16"/>
      <c r="L75" s="11"/>
    </row>
    <row r="76" spans="2:12" ht="15" customHeight="1">
      <c r="B76" s="77">
        <f>IF(B75-1,1.33,1)</f>
        <v>1</v>
      </c>
      <c r="C76" s="48"/>
      <c r="D76" s="48">
        <f>IF(D75-1,1.25,1)</f>
        <v>1.25</v>
      </c>
      <c r="E76" s="48"/>
      <c r="F76" s="48">
        <f>INDEX('Weapon Data'!J77:J83,F75)</f>
        <v>1</v>
      </c>
      <c r="G76" s="16"/>
      <c r="H76" s="16"/>
      <c r="I76" s="16"/>
      <c r="J76" s="16"/>
      <c r="K76" s="16"/>
      <c r="L76" s="11"/>
    </row>
    <row r="77" spans="2:12" ht="15" customHeight="1">
      <c r="B77" s="10"/>
      <c r="C77" s="16"/>
      <c r="D77" s="16"/>
      <c r="E77" s="16"/>
      <c r="F77" s="16"/>
      <c r="G77" s="16"/>
      <c r="H77" s="16"/>
      <c r="I77" s="16"/>
      <c r="J77" s="16"/>
      <c r="K77" s="16"/>
      <c r="L77" s="11"/>
    </row>
    <row r="78" spans="2:12" ht="15" customHeight="1">
      <c r="B78" s="10" t="s">
        <v>22</v>
      </c>
      <c r="C78" s="30">
        <f>C72*D73*F73*I73*J73*B76*D76*F76</f>
        <v>56.25</v>
      </c>
      <c r="D78" s="16" t="s">
        <v>59</v>
      </c>
      <c r="E78" s="16">
        <f>C78</f>
        <v>56.25</v>
      </c>
      <c r="F78" s="16" t="s">
        <v>190</v>
      </c>
      <c r="G78" s="145">
        <v>55.75</v>
      </c>
      <c r="H78" s="37" t="s">
        <v>25</v>
      </c>
      <c r="I78" s="16">
        <f>E78-G78</f>
        <v>0.5</v>
      </c>
      <c r="J78" s="16"/>
      <c r="K78" s="16"/>
      <c r="L78" s="11"/>
    </row>
    <row r="79" spans="2:12" ht="15" customHeight="1">
      <c r="B79" s="10" t="s">
        <v>576</v>
      </c>
      <c r="C79" s="30">
        <f>C72</f>
        <v>20</v>
      </c>
      <c r="D79" s="16"/>
      <c r="E79" s="16"/>
      <c r="F79" s="16"/>
      <c r="G79" s="16"/>
      <c r="H79" s="37" t="s">
        <v>24</v>
      </c>
      <c r="I79" s="16">
        <f>C78+(0.5*G78)</f>
        <v>84.125</v>
      </c>
      <c r="J79" s="16"/>
      <c r="K79" s="16"/>
      <c r="L79" s="11"/>
    </row>
    <row r="80" spans="2:12" ht="15" customHeight="1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2"/>
    </row>
    <row r="82" ht="15" customHeight="1">
      <c r="B82" s="71" t="s">
        <v>578</v>
      </c>
    </row>
    <row r="84" spans="2:15" ht="15" customHeight="1">
      <c r="B84" s="7"/>
      <c r="C84" s="80" t="s">
        <v>579</v>
      </c>
      <c r="D84" s="8">
        <f>I79</f>
        <v>84.125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6"/>
    </row>
    <row r="85" spans="2:15" ht="15" customHeight="1">
      <c r="B85" s="10"/>
      <c r="C85" s="16"/>
      <c r="D85" s="16" t="s">
        <v>580</v>
      </c>
      <c r="E85" s="16" t="s">
        <v>581</v>
      </c>
      <c r="F85" s="16" t="s">
        <v>582</v>
      </c>
      <c r="G85" s="16" t="s">
        <v>515</v>
      </c>
      <c r="H85" s="16" t="s">
        <v>583</v>
      </c>
      <c r="I85" s="16" t="s">
        <v>584</v>
      </c>
      <c r="J85" s="16" t="s">
        <v>585</v>
      </c>
      <c r="K85" s="16" t="s">
        <v>190</v>
      </c>
      <c r="L85" s="16" t="s">
        <v>586</v>
      </c>
      <c r="M85" s="16" t="s">
        <v>587</v>
      </c>
      <c r="N85" s="16" t="s">
        <v>588</v>
      </c>
      <c r="O85" s="11"/>
    </row>
    <row r="86" spans="2:15" ht="15" customHeight="1">
      <c r="B86" s="10"/>
      <c r="C86" s="37" t="s">
        <v>589</v>
      </c>
      <c r="D86" s="16">
        <v>8</v>
      </c>
      <c r="E86" s="16">
        <v>9</v>
      </c>
      <c r="F86" s="16">
        <v>1</v>
      </c>
      <c r="G86" s="16">
        <v>1</v>
      </c>
      <c r="H86" s="41">
        <v>1</v>
      </c>
      <c r="I86" s="145">
        <v>50</v>
      </c>
      <c r="J86" s="16">
        <f>$D$84*0.01*I86</f>
        <v>42.0625</v>
      </c>
      <c r="K86" s="145">
        <f>J86-0.5</f>
        <v>41.5625</v>
      </c>
      <c r="L86" s="16">
        <f>$D$84*0.01*D94*E94*F94*G94*H94</f>
        <v>13.46</v>
      </c>
      <c r="M86" s="16">
        <f>(L86*I86)+(0.5*K86)</f>
        <v>693.78125</v>
      </c>
      <c r="N86" s="16">
        <f>J86-K86</f>
        <v>0.5</v>
      </c>
      <c r="O86" s="11"/>
    </row>
    <row r="87" spans="2:15" ht="15" customHeight="1">
      <c r="B87" s="10"/>
      <c r="C87" s="37" t="s">
        <v>590</v>
      </c>
      <c r="D87" s="16">
        <v>1</v>
      </c>
      <c r="E87" s="16">
        <v>1</v>
      </c>
      <c r="F87" s="16">
        <v>1</v>
      </c>
      <c r="G87" s="16">
        <v>1</v>
      </c>
      <c r="H87" s="41">
        <v>1</v>
      </c>
      <c r="I87" s="145">
        <v>0</v>
      </c>
      <c r="J87" s="16">
        <f>$D$84*0.01*I87</f>
        <v>0</v>
      </c>
      <c r="K87" s="145">
        <v>0</v>
      </c>
      <c r="L87" s="16">
        <f>$D$84*0.01*D95*E95*F95*G95*H95</f>
        <v>0.84125</v>
      </c>
      <c r="M87" s="16">
        <f>(L87*I87)+(0.5*K87)</f>
        <v>0</v>
      </c>
      <c r="N87" s="16">
        <f>J87-K87</f>
        <v>0</v>
      </c>
      <c r="O87" s="11"/>
    </row>
    <row r="88" spans="2:15" ht="15" customHeight="1">
      <c r="B88" s="10"/>
      <c r="C88" s="37" t="s">
        <v>591</v>
      </c>
      <c r="D88" s="16">
        <v>1</v>
      </c>
      <c r="E88" s="16">
        <v>1</v>
      </c>
      <c r="F88" s="16">
        <v>1</v>
      </c>
      <c r="G88" s="16">
        <v>1</v>
      </c>
      <c r="H88" s="41">
        <v>1</v>
      </c>
      <c r="I88" s="145">
        <v>0</v>
      </c>
      <c r="J88" s="16">
        <f>$D$84*0.01*I88</f>
        <v>0</v>
      </c>
      <c r="K88" s="145">
        <v>0</v>
      </c>
      <c r="L88" s="16">
        <f>$D$84*0.01*D96*E96*F96*G96*H96</f>
        <v>0.84125</v>
      </c>
      <c r="M88" s="16">
        <f>(L88*I88)+(0.5*K88)</f>
        <v>0</v>
      </c>
      <c r="N88" s="16">
        <f>J88-K88</f>
        <v>0</v>
      </c>
      <c r="O88" s="11"/>
    </row>
    <row r="89" spans="2:15" ht="15" customHeight="1">
      <c r="B89" s="25"/>
      <c r="C89" s="38" t="s">
        <v>592</v>
      </c>
      <c r="D89" s="26">
        <v>1</v>
      </c>
      <c r="E89" s="26">
        <v>1</v>
      </c>
      <c r="F89" s="26">
        <v>1</v>
      </c>
      <c r="G89" s="26">
        <v>1</v>
      </c>
      <c r="H89" s="81">
        <v>1</v>
      </c>
      <c r="I89" s="146">
        <v>0</v>
      </c>
      <c r="J89" s="26">
        <f>$D$84*0.01*I89</f>
        <v>0</v>
      </c>
      <c r="K89" s="146">
        <v>0</v>
      </c>
      <c r="L89" s="26">
        <f>$D$84*0.01*D97*E97*F97*G97*H97</f>
        <v>0.84125</v>
      </c>
      <c r="M89" s="26">
        <f>(L89*I89)+(0.5*K89)</f>
        <v>0</v>
      </c>
      <c r="N89" s="26">
        <f>J89-K89</f>
        <v>0</v>
      </c>
      <c r="O89" s="22"/>
    </row>
    <row r="90" spans="2:15" ht="15" customHeight="1">
      <c r="B90" s="16"/>
      <c r="C90" s="37"/>
      <c r="D90" s="16"/>
      <c r="E90" s="16"/>
      <c r="F90" s="16"/>
      <c r="G90" s="16"/>
      <c r="H90" s="41"/>
      <c r="I90" s="35"/>
      <c r="J90" s="35"/>
      <c r="K90" s="35"/>
      <c r="L90" s="16"/>
      <c r="M90" s="16"/>
      <c r="N90" s="16"/>
      <c r="O90" s="16"/>
    </row>
    <row r="91" spans="2:15" ht="15" customHeight="1">
      <c r="B91" s="5"/>
      <c r="C91" s="72" t="s">
        <v>187</v>
      </c>
      <c r="D91" s="8" t="s">
        <v>185</v>
      </c>
      <c r="E91" s="8" t="s">
        <v>379</v>
      </c>
      <c r="F91" s="8" t="s">
        <v>189</v>
      </c>
      <c r="G91" s="8" t="s">
        <v>26</v>
      </c>
      <c r="H91" s="8" t="s">
        <v>188</v>
      </c>
      <c r="I91" s="8" t="s">
        <v>24</v>
      </c>
      <c r="J91" s="8" t="s">
        <v>25</v>
      </c>
      <c r="K91" s="8" t="s">
        <v>380</v>
      </c>
      <c r="L91" s="75" t="s">
        <v>382</v>
      </c>
      <c r="M91" s="6"/>
      <c r="N91" s="16"/>
      <c r="O91" s="16"/>
    </row>
    <row r="92" spans="2:15" ht="15" customHeight="1">
      <c r="B92" s="25"/>
      <c r="C92" s="26">
        <f>INDEX('Weapon Data'!A37:A41,D72)</f>
        <v>1</v>
      </c>
      <c r="D92" s="26">
        <f>G72</f>
        <v>6.5</v>
      </c>
      <c r="E92" s="26">
        <f>C72</f>
        <v>20</v>
      </c>
      <c r="F92" s="26">
        <f>I86</f>
        <v>50</v>
      </c>
      <c r="G92" s="26">
        <f>E92</f>
        <v>20</v>
      </c>
      <c r="H92" s="26">
        <f>INDEX('Weapon Data'!G68:G75,J72)</f>
        <v>3</v>
      </c>
      <c r="I92" s="26">
        <f>I79</f>
        <v>84.125</v>
      </c>
      <c r="J92" s="26">
        <f>I78</f>
        <v>0.5</v>
      </c>
      <c r="K92" s="26">
        <f>M86</f>
        <v>693.78125</v>
      </c>
      <c r="L92" s="26"/>
      <c r="M92" s="22"/>
      <c r="N92" s="16"/>
      <c r="O92" s="16"/>
    </row>
    <row r="94" spans="4:8" ht="15" customHeight="1">
      <c r="D94" s="82">
        <f>INDEX('Weapon Data'!$C$90:$C$102,D86)</f>
        <v>4</v>
      </c>
      <c r="E94" s="82">
        <f>INDEX('Weapon Data'!$C$90:$C$102,E86)</f>
        <v>4</v>
      </c>
      <c r="F94" s="82">
        <f>INDEX('Weapon Data'!$C$90:$C$102,F86)</f>
        <v>1</v>
      </c>
      <c r="G94" s="82">
        <f>INDEX('Weapon Data'!$F$91:$F$96,G86)</f>
        <v>1</v>
      </c>
      <c r="H94" s="82">
        <f>IF(H86-1,1000,1)</f>
        <v>1</v>
      </c>
    </row>
    <row r="95" spans="4:8" ht="15" customHeight="1">
      <c r="D95" s="82">
        <f>INDEX('Weapon Data'!$C$90:$C$102,D87)</f>
        <v>1</v>
      </c>
      <c r="E95" s="82">
        <f>INDEX('Weapon Data'!$C$90:$C$102,E87)</f>
        <v>1</v>
      </c>
      <c r="F95" s="82">
        <f>INDEX('Weapon Data'!$C$90:$C$102,F87)</f>
        <v>1</v>
      </c>
      <c r="G95" s="82">
        <f>INDEX('Weapon Data'!$F$91:$F$96,G87)</f>
        <v>1</v>
      </c>
      <c r="H95" s="82">
        <f>IF(H87-1,1000,1)</f>
        <v>1</v>
      </c>
    </row>
    <row r="96" spans="4:8" ht="15" customHeight="1">
      <c r="D96" s="82">
        <f>INDEX('Weapon Data'!$C$90:$C$102,D88)</f>
        <v>1</v>
      </c>
      <c r="E96" s="82">
        <f>INDEX('Weapon Data'!$C$90:$C$102,E88)</f>
        <v>1</v>
      </c>
      <c r="F96" s="82">
        <f>INDEX('Weapon Data'!$C$90:$C$102,F88)</f>
        <v>1</v>
      </c>
      <c r="G96" s="82">
        <f>INDEX('Weapon Data'!$F$91:$F$96,G88)</f>
        <v>1</v>
      </c>
      <c r="H96" s="82">
        <f>IF(H88-1,1000,1)</f>
        <v>1</v>
      </c>
    </row>
    <row r="97" spans="4:8" ht="15" customHeight="1">
      <c r="D97" s="82">
        <f>INDEX('Weapon Data'!$C$90:$C$102,D89)</f>
        <v>1</v>
      </c>
      <c r="E97" s="82">
        <f>INDEX('Weapon Data'!$C$90:$C$102,E89)</f>
        <v>1</v>
      </c>
      <c r="F97" s="82">
        <f>INDEX('Weapon Data'!$C$90:$C$102,F89)</f>
        <v>1</v>
      </c>
      <c r="G97" s="82">
        <f>INDEX('Weapon Data'!$F$91:$F$96,G89)</f>
        <v>1</v>
      </c>
      <c r="H97" s="82">
        <f>IF(H89-1,1000,1)</f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9">
      <selection activeCell="D1" sqref="D1:G1"/>
    </sheetView>
  </sheetViews>
  <sheetFormatPr defaultColWidth="9.140625" defaultRowHeight="15" customHeight="1"/>
  <cols>
    <col min="4" max="4" width="10.00390625" style="0" customWidth="1"/>
    <col min="5" max="5" width="10.140625" style="0" customWidth="1"/>
    <col min="7" max="7" width="8.7109375" style="0" customWidth="1"/>
    <col min="8" max="8" width="10.421875" style="0" customWidth="1"/>
    <col min="11" max="11" width="10.57421875" style="0" customWidth="1"/>
    <col min="13" max="13" width="17.8515625" style="0" customWidth="1"/>
  </cols>
  <sheetData>
    <row r="1" spans="1:7" ht="15" customHeight="1">
      <c r="A1" s="175" t="s">
        <v>10</v>
      </c>
      <c r="B1" s="176"/>
      <c r="C1" s="176"/>
      <c r="D1" s="178"/>
      <c r="E1" s="178"/>
      <c r="F1" s="178"/>
      <c r="G1" s="179"/>
    </row>
    <row r="2" spans="1:7" ht="15" customHeight="1" thickBot="1">
      <c r="A2" s="137" t="s">
        <v>0</v>
      </c>
      <c r="B2" s="3">
        <f>'Mecha Design'!B5</f>
        <v>0</v>
      </c>
      <c r="C2" s="3"/>
      <c r="D2" s="83"/>
      <c r="E2" s="3"/>
      <c r="F2" s="4" t="s">
        <v>1</v>
      </c>
      <c r="G2" s="138">
        <f>'Mecha Design'!G5</f>
        <v>1</v>
      </c>
    </row>
    <row r="3" spans="1:13" ht="15" customHeight="1">
      <c r="A3" s="152" t="s">
        <v>3</v>
      </c>
      <c r="B3" s="153"/>
      <c r="C3" s="153" t="s">
        <v>4</v>
      </c>
      <c r="D3" s="153" t="s">
        <v>593</v>
      </c>
      <c r="E3" s="153" t="s">
        <v>5</v>
      </c>
      <c r="F3" s="153" t="s">
        <v>6</v>
      </c>
      <c r="G3" s="154" t="s">
        <v>7</v>
      </c>
      <c r="H3" s="151"/>
      <c r="I3" s="84" t="s">
        <v>594</v>
      </c>
      <c r="J3" s="177"/>
      <c r="K3" s="177"/>
      <c r="L3" s="177"/>
      <c r="M3" s="6"/>
    </row>
    <row r="4" spans="1:13" ht="15" customHeight="1">
      <c r="A4" s="114" t="str">
        <f>'Mecha Design'!A7</f>
        <v>Humanoid</v>
      </c>
      <c r="B4" s="16"/>
      <c r="C4" s="16">
        <f>'Mecha Design'!C7</f>
        <v>0</v>
      </c>
      <c r="D4" s="16">
        <f>C4-E8</f>
        <v>0</v>
      </c>
      <c r="E4" s="16">
        <f>J$4-C4</f>
        <v>0</v>
      </c>
      <c r="F4" s="16">
        <f>'Mecha Design'!F7</f>
        <v>6</v>
      </c>
      <c r="G4" s="116">
        <f>'Mecha Design'!G7</f>
        <v>0</v>
      </c>
      <c r="H4" s="99"/>
      <c r="I4" s="85" t="s">
        <v>595</v>
      </c>
      <c r="J4" s="155">
        <v>0</v>
      </c>
      <c r="K4" s="16"/>
      <c r="L4" s="85" t="s">
        <v>596</v>
      </c>
      <c r="M4" s="11">
        <f>K5*'Mecha Design'!Q63+'Mecha Design'!Q62</f>
        <v>0</v>
      </c>
    </row>
    <row r="5" spans="1:13" ht="15" customHeight="1">
      <c r="A5" s="114" t="str">
        <f>'Mecha Design'!A8</f>
        <v>None</v>
      </c>
      <c r="B5" s="16"/>
      <c r="C5" s="16">
        <f>'Mecha Design'!C8</f>
        <v>0</v>
      </c>
      <c r="D5" s="16">
        <f>C5-E9</f>
        <v>0</v>
      </c>
      <c r="E5" s="16">
        <f>J$4-C5</f>
        <v>0</v>
      </c>
      <c r="F5" s="16">
        <f>'Mecha Design'!F8</f>
        <v>6</v>
      </c>
      <c r="G5" s="116">
        <f>'Mecha Design'!G8</f>
        <v>0</v>
      </c>
      <c r="H5" s="99"/>
      <c r="I5" s="85" t="s">
        <v>597</v>
      </c>
      <c r="J5" s="155">
        <v>0</v>
      </c>
      <c r="K5" s="62">
        <f>IF(J5-5&gt;0,J5-5,0)</f>
        <v>0</v>
      </c>
      <c r="L5" s="16"/>
      <c r="M5" s="11"/>
    </row>
    <row r="6" spans="1:13" ht="15" customHeight="1" thickBot="1">
      <c r="A6" s="114" t="str">
        <f>'Mecha Design'!A9</f>
        <v>None</v>
      </c>
      <c r="B6" s="16"/>
      <c r="C6" s="16">
        <f>'Mecha Design'!C9</f>
        <v>0</v>
      </c>
      <c r="D6" s="16">
        <f>C6-E10</f>
        <v>0</v>
      </c>
      <c r="E6" s="16">
        <f>J$4-C6</f>
        <v>0</v>
      </c>
      <c r="F6" s="16">
        <f>'Mecha Design'!F9</f>
        <v>6</v>
      </c>
      <c r="G6" s="116">
        <f>'Mecha Design'!G9</f>
        <v>0</v>
      </c>
      <c r="H6" s="26"/>
      <c r="I6" s="86" t="s">
        <v>598</v>
      </c>
      <c r="J6" s="26">
        <f>'Mecha Design'!I136</f>
        <v>1</v>
      </c>
      <c r="K6" s="26"/>
      <c r="L6" s="26"/>
      <c r="M6" s="22"/>
    </row>
    <row r="7" spans="1:7" ht="15" customHeight="1" thickBot="1">
      <c r="A7" s="121" t="str">
        <f>'Mecha Design'!A10</f>
        <v>None</v>
      </c>
      <c r="B7" s="122"/>
      <c r="C7" s="122">
        <f>'Mecha Design'!C10</f>
        <v>0</v>
      </c>
      <c r="D7" s="122">
        <f>C7-E11</f>
        <v>0</v>
      </c>
      <c r="E7" s="122">
        <f>J$4-C7</f>
        <v>0</v>
      </c>
      <c r="F7" s="122">
        <f>'Mecha Design'!F10</f>
        <v>6</v>
      </c>
      <c r="G7" s="123">
        <f>'Mecha Design'!G10</f>
        <v>0</v>
      </c>
    </row>
    <row r="8" ht="15" customHeight="1" thickBot="1">
      <c r="E8" s="82">
        <f>'Mecha Design'!L9</f>
        <v>0</v>
      </c>
    </row>
    <row r="9" spans="1:16" ht="15" customHeight="1">
      <c r="A9" s="5" t="s">
        <v>23</v>
      </c>
      <c r="B9" s="72" t="s">
        <v>599</v>
      </c>
      <c r="C9" s="72" t="s">
        <v>31</v>
      </c>
      <c r="D9" s="8" t="s">
        <v>600</v>
      </c>
      <c r="E9" s="8"/>
      <c r="F9" s="8"/>
      <c r="G9" s="8" t="s">
        <v>26</v>
      </c>
      <c r="H9" s="8" t="s">
        <v>601</v>
      </c>
      <c r="I9" s="8"/>
      <c r="J9" s="8"/>
      <c r="K9" s="8"/>
      <c r="L9" s="80" t="s">
        <v>602</v>
      </c>
      <c r="M9" s="8" t="s">
        <v>603</v>
      </c>
      <c r="N9" s="8"/>
      <c r="O9" s="8"/>
      <c r="P9" s="6"/>
    </row>
    <row r="10" spans="1:16" ht="15" customHeight="1">
      <c r="A10" s="10" t="s">
        <v>34</v>
      </c>
      <c r="B10" s="30">
        <f>'Mecha Design'!M15</f>
        <v>1</v>
      </c>
      <c r="C10" s="87">
        <f>'Mecha Design'!L15</f>
        <v>0</v>
      </c>
      <c r="D10" s="88">
        <f>INDEX(Data!$B$339:$B$357,C10+1)</f>
        <v>0</v>
      </c>
      <c r="E10" s="16"/>
      <c r="F10" s="16"/>
      <c r="G10" s="16">
        <f>'Mecha Design'!F15</f>
        <v>0</v>
      </c>
      <c r="H10" s="88">
        <f>INDEX(Data!$B$339:$B$357,G10+1)</f>
        <v>0</v>
      </c>
      <c r="I10" s="16"/>
      <c r="J10" s="16"/>
      <c r="K10" s="16"/>
      <c r="L10" s="16">
        <f>K15+INDEX(Data!$B$17:$B$21,'Mecha Design'!$C98)</f>
        <v>1</v>
      </c>
      <c r="M10" s="88">
        <f>INDEX(Data!$B$339:$B$348,('Mecha Design'!$E98+1))</f>
        <v>0</v>
      </c>
      <c r="N10" s="16"/>
      <c r="O10" s="16"/>
      <c r="P10" s="11"/>
    </row>
    <row r="11" spans="1:16" ht="15" customHeight="1">
      <c r="A11" s="10" t="s">
        <v>37</v>
      </c>
      <c r="B11" s="30">
        <f>'Mecha Design'!M16</f>
        <v>1</v>
      </c>
      <c r="C11" s="87">
        <f>'Mecha Design'!L16</f>
        <v>0</v>
      </c>
      <c r="D11" s="88">
        <f>INDEX(Data!$B$339:$B$357,C11+1)</f>
        <v>0</v>
      </c>
      <c r="E11" s="16"/>
      <c r="F11" s="16"/>
      <c r="G11" s="16">
        <f>'Mecha Design'!F16</f>
        <v>2</v>
      </c>
      <c r="H11" s="88">
        <f>INDEX(Data!$B$339:$B$357,G11+1)</f>
        <v>0.75</v>
      </c>
      <c r="I11" s="16"/>
      <c r="J11" s="16"/>
      <c r="K11" s="16"/>
      <c r="L11" s="16">
        <f>K16+INDEX(Data!$B$17:$B$21,'Mecha Design'!$C99)</f>
        <v>0</v>
      </c>
      <c r="M11" s="88">
        <f>INDEX(Data!$B$339:$B$348,('Mecha Design'!$E99+1))</f>
        <v>0</v>
      </c>
      <c r="N11" s="16"/>
      <c r="O11" s="16"/>
      <c r="P11" s="11"/>
    </row>
    <row r="12" spans="1:16" ht="15" customHeight="1">
      <c r="A12" s="10" t="s">
        <v>39</v>
      </c>
      <c r="B12" s="30">
        <f>'Mecha Design'!M17</f>
        <v>1</v>
      </c>
      <c r="C12" s="87">
        <f>'Mecha Design'!L17</f>
        <v>0</v>
      </c>
      <c r="D12" s="88">
        <f>INDEX(Data!$B$339:$B$357,C12+1)</f>
        <v>0</v>
      </c>
      <c r="E12" s="16"/>
      <c r="F12" s="16"/>
      <c r="G12" s="16">
        <f>'Mecha Design'!F17</f>
        <v>0</v>
      </c>
      <c r="H12" s="88">
        <f>INDEX(Data!$B$339:$B$357,G12+1)</f>
        <v>0</v>
      </c>
      <c r="I12" s="16"/>
      <c r="J12" s="16"/>
      <c r="K12" s="16"/>
      <c r="L12" s="16">
        <f>K17+INDEX(Data!$B$17:$B$21,'Mecha Design'!$C100)</f>
        <v>0</v>
      </c>
      <c r="M12" s="88">
        <f>INDEX(Data!$B$339:$B$348,('Mecha Design'!$E100+1))</f>
        <v>0</v>
      </c>
      <c r="N12" s="16"/>
      <c r="O12" s="16"/>
      <c r="P12" s="11"/>
    </row>
    <row r="13" spans="1:16" ht="15" customHeight="1">
      <c r="A13" s="10" t="s">
        <v>41</v>
      </c>
      <c r="B13" s="30">
        <f>'Mecha Design'!M18</f>
        <v>1</v>
      </c>
      <c r="C13" s="87">
        <f>'Mecha Design'!L18</f>
        <v>0</v>
      </c>
      <c r="D13" s="88">
        <f>INDEX(Data!$B$339:$B$357,C13+1)</f>
        <v>0</v>
      </c>
      <c r="E13" s="16"/>
      <c r="F13" s="16"/>
      <c r="G13" s="16">
        <f>'Mecha Design'!F18</f>
        <v>0</v>
      </c>
      <c r="H13" s="88">
        <f>INDEX(Data!$B$339:$B$357,G13+1)</f>
        <v>0</v>
      </c>
      <c r="I13" s="16"/>
      <c r="J13" s="16"/>
      <c r="K13" s="16"/>
      <c r="L13" s="16">
        <f>K18+INDEX(Data!$B$17:$B$21,'Mecha Design'!$C101)</f>
        <v>0</v>
      </c>
      <c r="M13" s="88">
        <f>INDEX(Data!$B$339:$B$348,('Mecha Design'!$E101+1))</f>
        <v>0</v>
      </c>
      <c r="N13" s="16"/>
      <c r="O13" s="16"/>
      <c r="P13" s="11"/>
    </row>
    <row r="14" spans="1:16" ht="15" customHeight="1">
      <c r="A14" s="10" t="s">
        <v>43</v>
      </c>
      <c r="B14" s="30">
        <f>'Mecha Design'!M19</f>
        <v>1</v>
      </c>
      <c r="C14" s="87">
        <f>'Mecha Design'!L19</f>
        <v>0</v>
      </c>
      <c r="D14" s="88">
        <f>INDEX(Data!$B$339:$B$357,C14+1)</f>
        <v>0</v>
      </c>
      <c r="E14" s="16"/>
      <c r="F14" s="16"/>
      <c r="G14" s="16">
        <f>'Mecha Design'!F19</f>
        <v>0</v>
      </c>
      <c r="H14" s="88">
        <f>INDEX(Data!$B$339:$B$357,G14+1)</f>
        <v>0</v>
      </c>
      <c r="I14" s="16"/>
      <c r="J14" s="16"/>
      <c r="K14" s="16"/>
      <c r="L14" s="16">
        <f>K19+INDEX(Data!$B$17:$B$21,'Mecha Design'!$C102)</f>
        <v>0</v>
      </c>
      <c r="M14" s="88">
        <f>INDEX(Data!$B$339:$B$348,('Mecha Design'!$E102+1))</f>
        <v>0</v>
      </c>
      <c r="N14" s="16"/>
      <c r="O14" s="16"/>
      <c r="P14" s="11"/>
    </row>
    <row r="15" spans="1:16" ht="15" customHeight="1">
      <c r="A15" s="10" t="s">
        <v>45</v>
      </c>
      <c r="B15" s="30">
        <f>'Mecha Design'!M20</f>
        <v>1</v>
      </c>
      <c r="C15" s="87">
        <f>'Mecha Design'!L20</f>
        <v>0</v>
      </c>
      <c r="D15" s="88">
        <f>INDEX(Data!$B$339:$B$357,C15+1)</f>
        <v>0</v>
      </c>
      <c r="E15" s="16"/>
      <c r="F15" s="16"/>
      <c r="G15" s="16">
        <f>'Mecha Design'!F20</f>
        <v>0</v>
      </c>
      <c r="H15" s="88">
        <f>INDEX(Data!$B$339:$B$357,G15+1)</f>
        <v>0</v>
      </c>
      <c r="I15" s="16"/>
      <c r="J15" s="16"/>
      <c r="K15" s="16"/>
      <c r="L15" s="16">
        <f>K20+INDEX(Data!$B$17:$B$21,'Mecha Design'!$C103)</f>
        <v>0</v>
      </c>
      <c r="M15" s="88">
        <f>INDEX(Data!$B$339:$B$348,('Mecha Design'!$E103+1))</f>
        <v>0</v>
      </c>
      <c r="N15" s="16"/>
      <c r="O15" s="16"/>
      <c r="P15" s="11"/>
    </row>
    <row r="16" spans="1:16" ht="15" customHeight="1">
      <c r="A16" s="10" t="s">
        <v>47</v>
      </c>
      <c r="B16" s="30">
        <f>'Mecha Design'!M21</f>
        <v>1</v>
      </c>
      <c r="C16" s="87">
        <f>'Mecha Design'!L21</f>
        <v>0</v>
      </c>
      <c r="D16" s="88">
        <f>INDEX(Data!$B$339:$B$357,C16+1)</f>
        <v>0</v>
      </c>
      <c r="E16" s="16"/>
      <c r="F16" s="16"/>
      <c r="G16" s="16">
        <f>'Mecha Design'!F21</f>
        <v>0</v>
      </c>
      <c r="H16" s="88">
        <f>INDEX(Data!$B$339:$B$357,G16+1)</f>
        <v>0</v>
      </c>
      <c r="I16" s="16"/>
      <c r="J16" s="16"/>
      <c r="K16" s="16"/>
      <c r="L16" s="16">
        <f>K21+INDEX(Data!$B$17:$B$21,'Mecha Design'!$C104)</f>
        <v>0</v>
      </c>
      <c r="M16" s="88">
        <f>INDEX(Data!$B$339:$B$348,('Mecha Design'!$E104+1))</f>
        <v>0</v>
      </c>
      <c r="N16" s="16"/>
      <c r="O16" s="16"/>
      <c r="P16" s="11"/>
    </row>
    <row r="17" spans="1:16" ht="15" customHeight="1">
      <c r="A17" s="10" t="s">
        <v>47</v>
      </c>
      <c r="B17" s="30">
        <f>'Mecha Design'!M22</f>
        <v>1</v>
      </c>
      <c r="C17" s="87">
        <f>'Mecha Design'!L22</f>
        <v>0</v>
      </c>
      <c r="D17" s="88">
        <f>INDEX(Data!$B$339:$B$357,C17+1)</f>
        <v>0</v>
      </c>
      <c r="E17" s="16"/>
      <c r="F17" s="16"/>
      <c r="G17" s="16">
        <f>'Mecha Design'!F22</f>
        <v>0</v>
      </c>
      <c r="H17" s="88">
        <f>INDEX(Data!$B$339:$B$357,G17+1)</f>
        <v>0</v>
      </c>
      <c r="I17" s="16"/>
      <c r="J17" s="16"/>
      <c r="K17" s="16"/>
      <c r="L17" s="16">
        <f>K22+INDEX(Data!$B$17:$B$21,'Mecha Design'!$C105)</f>
        <v>0</v>
      </c>
      <c r="M17" s="88">
        <f>INDEX(Data!$B$339:$B$348,('Mecha Design'!$E105+1))</f>
        <v>0</v>
      </c>
      <c r="N17" s="16"/>
      <c r="O17" s="16"/>
      <c r="P17" s="11"/>
    </row>
    <row r="18" spans="1:16" ht="15" customHeight="1">
      <c r="A18" s="10" t="s">
        <v>47</v>
      </c>
      <c r="B18" s="30">
        <f>'Mecha Design'!M23</f>
        <v>1</v>
      </c>
      <c r="C18" s="87">
        <f>'Mecha Design'!L23</f>
        <v>0</v>
      </c>
      <c r="D18" s="88">
        <f>INDEX(Data!$B$339:$B$357,C18+1)</f>
        <v>0</v>
      </c>
      <c r="E18" s="16"/>
      <c r="F18" s="16"/>
      <c r="G18" s="16">
        <f>'Mecha Design'!F23</f>
        <v>0</v>
      </c>
      <c r="H18" s="88">
        <f>INDEX(Data!$B$339:$B$357,G18+1)</f>
        <v>0</v>
      </c>
      <c r="I18" s="16"/>
      <c r="J18" s="16"/>
      <c r="K18" s="16"/>
      <c r="L18" s="16">
        <f>K23+INDEX(Data!$B$17:$B$21,'Mecha Design'!$C106)</f>
        <v>0</v>
      </c>
      <c r="M18" s="88">
        <f>INDEX(Data!$B$339:$B$348,('Mecha Design'!$E106+1))</f>
        <v>0</v>
      </c>
      <c r="N18" s="16"/>
      <c r="O18" s="16"/>
      <c r="P18" s="11"/>
    </row>
    <row r="19" spans="1:16" ht="15" customHeight="1">
      <c r="A19" s="10" t="s">
        <v>47</v>
      </c>
      <c r="B19" s="30">
        <f>'Mecha Design'!M24</f>
        <v>1</v>
      </c>
      <c r="C19" s="87">
        <f>'Mecha Design'!L24</f>
        <v>0</v>
      </c>
      <c r="D19" s="88">
        <f>INDEX(Data!$B$339:$B$357,C19+1)</f>
        <v>0</v>
      </c>
      <c r="E19" s="16"/>
      <c r="F19" s="16"/>
      <c r="G19" s="16">
        <f>'Mecha Design'!F24</f>
        <v>0</v>
      </c>
      <c r="H19" s="88">
        <f>INDEX(Data!$B$339:$B$357,G19+1)</f>
        <v>0</v>
      </c>
      <c r="I19" s="16"/>
      <c r="J19" s="16"/>
      <c r="K19" s="16"/>
      <c r="L19" s="16">
        <f>K24+INDEX(Data!$B$17:$B$21,'Mecha Design'!$C107)</f>
        <v>0</v>
      </c>
      <c r="M19" s="88">
        <f>INDEX(Data!$B$339:$B$348,('Mecha Design'!$E107+1))</f>
        <v>0</v>
      </c>
      <c r="N19" s="16"/>
      <c r="O19" s="16"/>
      <c r="P19" s="11"/>
    </row>
    <row r="20" spans="1:16" ht="15" customHeight="1">
      <c r="A20" s="10" t="s">
        <v>48</v>
      </c>
      <c r="B20" s="30">
        <f>'Mecha Design'!M25</f>
        <v>1</v>
      </c>
      <c r="C20" s="87">
        <f>'Mecha Design'!L25</f>
        <v>0</v>
      </c>
      <c r="D20" s="88">
        <f>INDEX(Data!$B$339:$B$357,C20+1)</f>
        <v>0</v>
      </c>
      <c r="E20" s="16"/>
      <c r="F20" s="16"/>
      <c r="G20" s="16">
        <f>'Mecha Design'!F25</f>
        <v>0</v>
      </c>
      <c r="H20" s="88">
        <f>INDEX(Data!$B$339:$B$357,G20+1)</f>
        <v>0</v>
      </c>
      <c r="I20" s="16"/>
      <c r="J20" s="16"/>
      <c r="K20" s="16"/>
      <c r="L20" s="16">
        <f>K25+INDEX(Data!$B$17:$B$21,'Mecha Design'!$C108)</f>
        <v>0</v>
      </c>
      <c r="M20" s="88">
        <f>INDEX(Data!$B$339:$B$348,('Mecha Design'!$E108+1))</f>
        <v>0</v>
      </c>
      <c r="N20" s="16"/>
      <c r="O20" s="16"/>
      <c r="P20" s="11"/>
    </row>
    <row r="21" spans="1:16" ht="15" customHeight="1">
      <c r="A21" s="10" t="s">
        <v>48</v>
      </c>
      <c r="B21" s="30">
        <f>'Mecha Design'!M26</f>
        <v>1</v>
      </c>
      <c r="C21" s="87">
        <f>'Mecha Design'!L26</f>
        <v>0</v>
      </c>
      <c r="D21" s="88">
        <f>INDEX(Data!$B$339:$B$357,C21+1)</f>
        <v>0</v>
      </c>
      <c r="E21" s="16"/>
      <c r="F21" s="16"/>
      <c r="G21" s="16">
        <f>'Mecha Design'!F26</f>
        <v>0</v>
      </c>
      <c r="H21" s="88">
        <f>INDEX(Data!$B$339:$B$357,G21+1)</f>
        <v>0</v>
      </c>
      <c r="I21" s="16"/>
      <c r="J21" s="16"/>
      <c r="K21" s="16"/>
      <c r="L21" s="16">
        <f>K26+INDEX(Data!$B$17:$B$21,'Mecha Design'!$C109)</f>
        <v>0</v>
      </c>
      <c r="M21" s="88">
        <f>INDEX(Data!$B$339:$B$348,('Mecha Design'!$E109+1))</f>
        <v>0</v>
      </c>
      <c r="N21" s="16"/>
      <c r="O21" s="16"/>
      <c r="P21" s="11"/>
    </row>
    <row r="22" spans="1:16" ht="15" customHeight="1">
      <c r="A22" s="10" t="s">
        <v>48</v>
      </c>
      <c r="B22" s="30">
        <f>'Mecha Design'!M27</f>
        <v>1</v>
      </c>
      <c r="C22" s="87">
        <f>'Mecha Design'!L27</f>
        <v>0</v>
      </c>
      <c r="D22" s="88">
        <f>INDEX(Data!$B$339:$B$357,C22+1)</f>
        <v>0</v>
      </c>
      <c r="E22" s="16"/>
      <c r="F22" s="16"/>
      <c r="G22" s="16">
        <f>'Mecha Design'!F27</f>
        <v>0</v>
      </c>
      <c r="H22" s="88">
        <f>INDEX(Data!$B$339:$B$357,G22+1)</f>
        <v>0</v>
      </c>
      <c r="I22" s="16"/>
      <c r="J22" s="16"/>
      <c r="K22" s="16"/>
      <c r="L22" s="16">
        <f>K27+INDEX(Data!$B$17:$B$21,'Mecha Design'!$C110)</f>
        <v>0</v>
      </c>
      <c r="M22" s="88">
        <f>INDEX(Data!$B$339:$B$348,('Mecha Design'!$E110+1))</f>
        <v>0</v>
      </c>
      <c r="N22" s="16"/>
      <c r="O22" s="16"/>
      <c r="P22" s="11"/>
    </row>
    <row r="23" spans="1:16" ht="15" customHeight="1">
      <c r="A23" s="10" t="s">
        <v>48</v>
      </c>
      <c r="B23" s="30">
        <f>'Mecha Design'!M28</f>
        <v>1</v>
      </c>
      <c r="C23" s="87">
        <f>'Mecha Design'!L28</f>
        <v>0</v>
      </c>
      <c r="D23" s="88">
        <f>INDEX(Data!$B$339:$B$357,C23+1)</f>
        <v>0</v>
      </c>
      <c r="E23" s="16"/>
      <c r="F23" s="16"/>
      <c r="G23" s="16">
        <f>'Mecha Design'!F28</f>
        <v>0</v>
      </c>
      <c r="H23" s="88">
        <f>INDEX(Data!$B$339:$B$357,G23+1)</f>
        <v>0</v>
      </c>
      <c r="I23" s="16"/>
      <c r="J23" s="16"/>
      <c r="K23" s="16"/>
      <c r="L23" s="16">
        <f>K28+INDEX(Data!$B$17:$B$21,'Mecha Design'!$C111)</f>
        <v>0</v>
      </c>
      <c r="M23" s="88">
        <f>INDEX(Data!$B$339:$B$348,('Mecha Design'!$E111+1))</f>
        <v>0</v>
      </c>
      <c r="N23" s="16"/>
      <c r="O23" s="16"/>
      <c r="P23" s="11"/>
    </row>
    <row r="24" spans="1:16" ht="15" customHeight="1">
      <c r="A24" s="10" t="s">
        <v>49</v>
      </c>
      <c r="B24" s="30"/>
      <c r="C24" s="30"/>
      <c r="D24" s="16"/>
      <c r="E24" s="16"/>
      <c r="F24" s="16"/>
      <c r="G24" s="16">
        <f>'Mecha Design'!F29</f>
        <v>0</v>
      </c>
      <c r="H24" s="88">
        <f>INDEX(Data!$B$339:$B$357,G24+1)</f>
        <v>0</v>
      </c>
      <c r="I24" s="16"/>
      <c r="J24" s="16"/>
      <c r="K24" s="16"/>
      <c r="L24" s="16"/>
      <c r="M24" s="16"/>
      <c r="N24" s="16"/>
      <c r="O24" s="16"/>
      <c r="P24" s="11"/>
    </row>
    <row r="25" spans="1:16" ht="15" customHeight="1">
      <c r="A25" s="25" t="s">
        <v>50</v>
      </c>
      <c r="B25" s="89"/>
      <c r="C25" s="89"/>
      <c r="D25" s="26"/>
      <c r="E25" s="26"/>
      <c r="F25" s="26"/>
      <c r="G25" s="26">
        <f>'Mecha Design'!F30</f>
        <v>0</v>
      </c>
      <c r="H25" s="90">
        <f>INDEX(Data!$B$339:$B$357,G25+1)</f>
        <v>0</v>
      </c>
      <c r="I25" s="26"/>
      <c r="J25" s="26"/>
      <c r="K25" s="26"/>
      <c r="L25" s="26"/>
      <c r="M25" s="26"/>
      <c r="N25" s="26"/>
      <c r="O25" s="26"/>
      <c r="P25" s="22"/>
    </row>
    <row r="26" spans="1:14" ht="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" customHeight="1">
      <c r="A27" s="31" t="s">
        <v>604</v>
      </c>
      <c r="B27" s="16"/>
      <c r="C27" s="16"/>
      <c r="D27" s="16"/>
      <c r="E27" s="32" t="s">
        <v>185</v>
      </c>
      <c r="F27" s="32" t="s">
        <v>186</v>
      </c>
      <c r="G27" s="32" t="s">
        <v>187</v>
      </c>
      <c r="H27" s="32" t="s">
        <v>26</v>
      </c>
      <c r="I27" s="32" t="s">
        <v>188</v>
      </c>
      <c r="J27" s="32" t="s">
        <v>189</v>
      </c>
      <c r="K27" s="16"/>
      <c r="L27" s="16"/>
      <c r="M27" s="97" t="s">
        <v>164</v>
      </c>
      <c r="N27" s="16"/>
    </row>
    <row r="28" spans="1:14" ht="15" customHeight="1">
      <c r="A28" s="82">
        <f>'Mecha Design'!$A213</f>
        <v>1</v>
      </c>
      <c r="B28" t="str">
        <f>INDEX(Weapons!$B$3:$B$201,$A28)</f>
        <v>None- Select Weapon</v>
      </c>
      <c r="E28" s="67">
        <f>'Mecha Design'!$E213</f>
        <v>0</v>
      </c>
      <c r="F28" s="67">
        <f>'Mecha Design'!$F213</f>
        <v>0</v>
      </c>
      <c r="G28" s="67">
        <f>'Mecha Design'!$G213</f>
        <v>0</v>
      </c>
      <c r="H28" s="67">
        <f>'Mecha Design'!$H213</f>
        <v>0</v>
      </c>
      <c r="I28" s="67">
        <f>'Mecha Design'!$I213</f>
        <v>0</v>
      </c>
      <c r="J28" s="67">
        <f>'Mecha Design'!$J213</f>
        <v>0</v>
      </c>
      <c r="M28" s="98" t="s">
        <v>631</v>
      </c>
      <c r="N28">
        <v>12</v>
      </c>
    </row>
    <row r="29" spans="1:14" ht="15" customHeight="1">
      <c r="A29" s="82">
        <f>'Mecha Design'!$A214</f>
        <v>1</v>
      </c>
      <c r="B29" t="str">
        <f>INDEX(Weapons!$B$3:$B$201,$A29)</f>
        <v>None- Select Weapon</v>
      </c>
      <c r="E29" s="67">
        <f>'Mecha Design'!$E214</f>
        <v>0</v>
      </c>
      <c r="F29" s="67">
        <f>'Mecha Design'!$F214</f>
        <v>0</v>
      </c>
      <c r="G29" s="67">
        <f>'Mecha Design'!$G214</f>
        <v>0</v>
      </c>
      <c r="H29" s="67">
        <f>'Mecha Design'!$H214</f>
        <v>0</v>
      </c>
      <c r="I29" s="67">
        <f>'Mecha Design'!$I214</f>
        <v>0</v>
      </c>
      <c r="J29" s="67">
        <f>'Mecha Design'!$J214</f>
        <v>0</v>
      </c>
      <c r="M29" s="98" t="s">
        <v>632</v>
      </c>
      <c r="N29">
        <v>12</v>
      </c>
    </row>
    <row r="30" spans="1:14" ht="15" customHeight="1">
      <c r="A30" s="82">
        <f>'Mecha Design'!$A215</f>
        <v>1</v>
      </c>
      <c r="B30" t="str">
        <f>INDEX(Weapons!$B$3:$B$201,$A30)</f>
        <v>None- Select Weapon</v>
      </c>
      <c r="E30" s="67">
        <f>'Mecha Design'!$E215</f>
        <v>0</v>
      </c>
      <c r="F30" s="67">
        <f>'Mecha Design'!$F215</f>
        <v>0</v>
      </c>
      <c r="G30" s="67">
        <f>'Mecha Design'!$G215</f>
        <v>0</v>
      </c>
      <c r="H30" s="67">
        <f>'Mecha Design'!$H215</f>
        <v>0</v>
      </c>
      <c r="I30" s="67">
        <f>'Mecha Design'!$I215</f>
        <v>0</v>
      </c>
      <c r="J30" s="67">
        <f>'Mecha Design'!$J215</f>
        <v>0</v>
      </c>
      <c r="M30" s="98" t="s">
        <v>633</v>
      </c>
      <c r="N30">
        <v>12</v>
      </c>
    </row>
    <row r="31" spans="1:14" ht="15" customHeight="1">
      <c r="A31" s="82">
        <f>'Mecha Design'!$A216</f>
        <v>1</v>
      </c>
      <c r="B31" t="str">
        <f>INDEX(Weapons!$B$3:$B$201,$A31)</f>
        <v>None- Select Weapon</v>
      </c>
      <c r="E31" s="67">
        <f>'Mecha Design'!$E216</f>
        <v>0</v>
      </c>
      <c r="F31" s="67">
        <f>'Mecha Design'!$F216</f>
        <v>0</v>
      </c>
      <c r="G31" s="67">
        <f>'Mecha Design'!$G216</f>
        <v>0</v>
      </c>
      <c r="H31" s="67">
        <f>'Mecha Design'!$H216</f>
        <v>0</v>
      </c>
      <c r="I31" s="67">
        <f>'Mecha Design'!$I216</f>
        <v>0</v>
      </c>
      <c r="J31" s="67">
        <f>'Mecha Design'!$J216</f>
        <v>0</v>
      </c>
      <c r="M31" s="98" t="s">
        <v>634</v>
      </c>
      <c r="N31">
        <v>12</v>
      </c>
    </row>
    <row r="32" spans="1:14" ht="15" customHeight="1">
      <c r="A32" s="82">
        <f>'Mecha Design'!$A217</f>
        <v>1</v>
      </c>
      <c r="B32" t="str">
        <f>INDEX(Weapons!$B$3:$B$201,$A32)</f>
        <v>None- Select Weapon</v>
      </c>
      <c r="E32" s="67">
        <f>'Mecha Design'!$E217</f>
        <v>0</v>
      </c>
      <c r="F32" s="67">
        <f>'Mecha Design'!$F217</f>
        <v>0</v>
      </c>
      <c r="G32" s="67">
        <f>'Mecha Design'!$G217</f>
        <v>0</v>
      </c>
      <c r="H32" s="67">
        <f>'Mecha Design'!$H217</f>
        <v>0</v>
      </c>
      <c r="I32" s="67">
        <f>'Mecha Design'!$I217</f>
        <v>0</v>
      </c>
      <c r="J32" s="67">
        <f>'Mecha Design'!$J217</f>
        <v>0</v>
      </c>
      <c r="M32" s="98" t="s">
        <v>635</v>
      </c>
      <c r="N32">
        <v>12</v>
      </c>
    </row>
    <row r="33" spans="1:14" ht="15" customHeight="1">
      <c r="A33" s="82">
        <f>'Mecha Design'!$A218</f>
        <v>1</v>
      </c>
      <c r="B33" t="str">
        <f>INDEX(Weapons!$B$3:$B$201,$A33)</f>
        <v>None- Select Weapon</v>
      </c>
      <c r="E33" s="67">
        <f>'Mecha Design'!$E218</f>
        <v>0</v>
      </c>
      <c r="F33" s="67">
        <f>'Mecha Design'!$F218</f>
        <v>0</v>
      </c>
      <c r="G33" s="67">
        <f>'Mecha Design'!$G218</f>
        <v>0</v>
      </c>
      <c r="H33" s="67">
        <f>'Mecha Design'!$H218</f>
        <v>0</v>
      </c>
      <c r="I33" s="67">
        <f>'Mecha Design'!$I218</f>
        <v>0</v>
      </c>
      <c r="J33" s="67">
        <f>'Mecha Design'!$J218</f>
        <v>0</v>
      </c>
      <c r="M33" s="98" t="s">
        <v>636</v>
      </c>
      <c r="N33">
        <v>12</v>
      </c>
    </row>
    <row r="34" spans="1:14" ht="15" customHeight="1">
      <c r="A34" s="82">
        <f>'Mecha Design'!$A219</f>
        <v>1</v>
      </c>
      <c r="B34" t="str">
        <f>INDEX(Weapons!$B$3:$B$201,$A34)</f>
        <v>None- Select Weapon</v>
      </c>
      <c r="E34" s="67">
        <f>'Mecha Design'!$E219</f>
        <v>0</v>
      </c>
      <c r="F34" s="67">
        <f>'Mecha Design'!$F219</f>
        <v>0</v>
      </c>
      <c r="G34" s="67">
        <f>'Mecha Design'!$G219</f>
        <v>0</v>
      </c>
      <c r="H34" s="67">
        <f>'Mecha Design'!$H219</f>
        <v>0</v>
      </c>
      <c r="I34" s="67">
        <f>'Mecha Design'!$I219</f>
        <v>0</v>
      </c>
      <c r="J34" s="67">
        <f>'Mecha Design'!$J219</f>
        <v>0</v>
      </c>
      <c r="M34" s="98" t="s">
        <v>639</v>
      </c>
      <c r="N34">
        <v>12</v>
      </c>
    </row>
    <row r="35" spans="1:14" ht="15" customHeight="1">
      <c r="A35" s="82">
        <f>'Mecha Design'!$A220</f>
        <v>1</v>
      </c>
      <c r="B35" t="str">
        <f>INDEX(Weapons!$B$3:$B$201,$A35)</f>
        <v>None- Select Weapon</v>
      </c>
      <c r="E35" s="67">
        <f>'Mecha Design'!$E220</f>
        <v>0</v>
      </c>
      <c r="F35" s="67">
        <f>'Mecha Design'!$F220</f>
        <v>0</v>
      </c>
      <c r="G35" s="67">
        <f>'Mecha Design'!$G220</f>
        <v>0</v>
      </c>
      <c r="H35" s="67">
        <f>'Mecha Design'!$H220</f>
        <v>0</v>
      </c>
      <c r="I35" s="67">
        <f>'Mecha Design'!$I220</f>
        <v>0</v>
      </c>
      <c r="J35" s="67">
        <f>'Mecha Design'!$J220</f>
        <v>0</v>
      </c>
      <c r="M35" s="98" t="s">
        <v>638</v>
      </c>
      <c r="N35">
        <v>12</v>
      </c>
    </row>
    <row r="36" spans="1:14" ht="15" customHeight="1">
      <c r="A36" s="82">
        <f>'Mecha Design'!$A221</f>
        <v>1</v>
      </c>
      <c r="B36" t="str">
        <f>INDEX(Weapons!$B$3:$B$201,$A36)</f>
        <v>None- Select Weapon</v>
      </c>
      <c r="E36" s="67">
        <f>'Mecha Design'!$E221</f>
        <v>0</v>
      </c>
      <c r="F36" s="67">
        <f>'Mecha Design'!$F221</f>
        <v>0</v>
      </c>
      <c r="G36" s="67">
        <f>'Mecha Design'!$G221</f>
        <v>0</v>
      </c>
      <c r="H36" s="67">
        <f>'Mecha Design'!$H221</f>
        <v>0</v>
      </c>
      <c r="I36" s="67">
        <f>'Mecha Design'!$I221</f>
        <v>0</v>
      </c>
      <c r="J36" s="67">
        <f>'Mecha Design'!$J221</f>
        <v>0</v>
      </c>
      <c r="M36" s="98" t="s">
        <v>637</v>
      </c>
      <c r="N36">
        <v>12</v>
      </c>
    </row>
    <row r="37" spans="1:14" ht="15" customHeight="1">
      <c r="A37" s="82">
        <f>'Mecha Design'!$A222</f>
        <v>1</v>
      </c>
      <c r="B37" t="str">
        <f>INDEX(Weapons!$B$3:$B$201,$A37)</f>
        <v>None- Select Weapon</v>
      </c>
      <c r="E37" s="67">
        <f>'Mecha Design'!$E222</f>
        <v>0</v>
      </c>
      <c r="F37" s="67">
        <f>'Mecha Design'!$F222</f>
        <v>0</v>
      </c>
      <c r="G37" s="67">
        <f>'Mecha Design'!$G222</f>
        <v>0</v>
      </c>
      <c r="H37" s="67">
        <f>'Mecha Design'!$H222</f>
        <v>0</v>
      </c>
      <c r="I37" s="67">
        <f>'Mecha Design'!$I222</f>
        <v>0</v>
      </c>
      <c r="J37" s="67">
        <f>'Mecha Design'!$J222</f>
        <v>0</v>
      </c>
      <c r="M37" s="98" t="s">
        <v>168</v>
      </c>
      <c r="N37">
        <v>12</v>
      </c>
    </row>
    <row r="38" spans="1:13" ht="15" customHeight="1">
      <c r="A38" s="82">
        <f>'Mecha Design'!$A223</f>
        <v>1</v>
      </c>
      <c r="B38" t="str">
        <f>INDEX(Weapons!$B$3:$B$201,$A38)</f>
        <v>None- Select Weapon</v>
      </c>
      <c r="E38" s="67">
        <f>'Mecha Design'!$E223</f>
        <v>0</v>
      </c>
      <c r="F38" s="67">
        <f>'Mecha Design'!$F223</f>
        <v>0</v>
      </c>
      <c r="G38" s="67">
        <f>'Mecha Design'!$G223</f>
        <v>0</v>
      </c>
      <c r="H38" s="67">
        <f>'Mecha Design'!$H223</f>
        <v>0</v>
      </c>
      <c r="I38" s="67">
        <f>'Mecha Design'!$I223</f>
        <v>0</v>
      </c>
      <c r="J38" s="67">
        <f>'Mecha Design'!$J223</f>
        <v>0</v>
      </c>
      <c r="M38" s="98"/>
    </row>
    <row r="39" spans="1:13" ht="15" customHeight="1">
      <c r="A39" s="82">
        <f>'Mecha Design'!$A224</f>
        <v>1</v>
      </c>
      <c r="B39" t="str">
        <f>INDEX(Weapons!$B$3:$B$201,$A39)</f>
        <v>None- Select Weapon</v>
      </c>
      <c r="E39" s="67">
        <f>'Mecha Design'!$E224</f>
        <v>0</v>
      </c>
      <c r="F39" s="67">
        <f>'Mecha Design'!$F224</f>
        <v>0</v>
      </c>
      <c r="G39" s="67">
        <f>'Mecha Design'!$G224</f>
        <v>0</v>
      </c>
      <c r="H39" s="67">
        <f>'Mecha Design'!$H224</f>
        <v>0</v>
      </c>
      <c r="I39" s="67">
        <f>'Mecha Design'!$I224</f>
        <v>0</v>
      </c>
      <c r="J39" s="67">
        <f>'Mecha Design'!$J224</f>
        <v>0</v>
      </c>
      <c r="M39" s="98"/>
    </row>
    <row r="40" spans="1:10" ht="15" customHeight="1">
      <c r="A40" s="82">
        <f>'Mecha Design'!$A225</f>
        <v>1</v>
      </c>
      <c r="B40" t="str">
        <f>INDEX(Weapons!$B$3:$B$201,$A40)</f>
        <v>None- Select Weapon</v>
      </c>
      <c r="E40" s="67">
        <f>'Mecha Design'!$E225</f>
        <v>0</v>
      </c>
      <c r="F40" s="67">
        <f>'Mecha Design'!$F225</f>
        <v>0</v>
      </c>
      <c r="G40" s="67">
        <f>'Mecha Design'!$G225</f>
        <v>0</v>
      </c>
      <c r="H40" s="67">
        <f>'Mecha Design'!$H225</f>
        <v>0</v>
      </c>
      <c r="I40" s="67">
        <f>'Mecha Design'!$I225</f>
        <v>0</v>
      </c>
      <c r="J40" s="67">
        <f>'Mecha Design'!$J225</f>
        <v>0</v>
      </c>
    </row>
    <row r="41" spans="1:10" ht="15" customHeight="1">
      <c r="A41" s="82">
        <f>'Mecha Design'!$A226</f>
        <v>1</v>
      </c>
      <c r="B41" t="str">
        <f>INDEX(Weapons!$B$3:$B$201,$A41)</f>
        <v>None- Select Weapon</v>
      </c>
      <c r="E41" s="67">
        <f>'Mecha Design'!$E226</f>
        <v>0</v>
      </c>
      <c r="F41" s="67">
        <f>'Mecha Design'!$F226</f>
        <v>0</v>
      </c>
      <c r="G41" s="67">
        <f>'Mecha Design'!$G226</f>
        <v>0</v>
      </c>
      <c r="H41" s="67">
        <f>'Mecha Design'!$H226</f>
        <v>0</v>
      </c>
      <c r="I41" s="67">
        <f>'Mecha Design'!$I226</f>
        <v>0</v>
      </c>
      <c r="J41" s="67">
        <f>'Mecha Design'!$J226</f>
        <v>0</v>
      </c>
    </row>
    <row r="42" spans="1:10" ht="15" customHeight="1">
      <c r="A42" s="82">
        <f>'Mecha Design'!$A227</f>
        <v>1</v>
      </c>
      <c r="B42" t="str">
        <f>INDEX(Weapons!$B$3:$B$201,$A42)</f>
        <v>None- Select Weapon</v>
      </c>
      <c r="E42" s="67">
        <f>'Mecha Design'!$E227</f>
        <v>0</v>
      </c>
      <c r="F42" s="67">
        <f>'Mecha Design'!$F227</f>
        <v>0</v>
      </c>
      <c r="G42" s="67">
        <f>'Mecha Design'!$G227</f>
        <v>0</v>
      </c>
      <c r="H42" s="67">
        <f>'Mecha Design'!$H227</f>
        <v>0</v>
      </c>
      <c r="I42" s="67">
        <f>'Mecha Design'!$I227</f>
        <v>0</v>
      </c>
      <c r="J42" s="67">
        <f>'Mecha Design'!$J227</f>
        <v>0</v>
      </c>
    </row>
    <row r="43" spans="1:10" ht="15" customHeight="1">
      <c r="A43" s="82">
        <f>'Mecha Design'!$A228</f>
        <v>1</v>
      </c>
      <c r="B43" t="str">
        <f>INDEX(Weapons!$B$3:$B$201,$A43)</f>
        <v>None- Select Weapon</v>
      </c>
      <c r="E43" s="67">
        <f>'Mecha Design'!$E228</f>
        <v>0</v>
      </c>
      <c r="F43" s="67">
        <f>'Mecha Design'!$F228</f>
        <v>0</v>
      </c>
      <c r="G43" s="67">
        <f>'Mecha Design'!$G228</f>
        <v>0</v>
      </c>
      <c r="H43" s="67">
        <f>'Mecha Design'!$H228</f>
        <v>0</v>
      </c>
      <c r="I43" s="67">
        <f>'Mecha Design'!$I228</f>
        <v>0</v>
      </c>
      <c r="J43" s="67">
        <f>'Mecha Design'!$J228</f>
        <v>0</v>
      </c>
    </row>
    <row r="44" spans="1:10" ht="15" customHeight="1">
      <c r="A44" s="82">
        <f>'Mecha Design'!$A229</f>
        <v>1</v>
      </c>
      <c r="B44" t="str">
        <f>INDEX(Weapons!$B$3:$B$201,$A44)</f>
        <v>None- Select Weapon</v>
      </c>
      <c r="E44" s="67">
        <f>'Mecha Design'!$E229</f>
        <v>0</v>
      </c>
      <c r="F44" s="67">
        <f>'Mecha Design'!$F229</f>
        <v>0</v>
      </c>
      <c r="G44" s="67">
        <f>'Mecha Design'!$G229</f>
        <v>0</v>
      </c>
      <c r="H44" s="67">
        <f>'Mecha Design'!$H229</f>
        <v>0</v>
      </c>
      <c r="I44" s="67">
        <f>'Mecha Design'!$I229</f>
        <v>0</v>
      </c>
      <c r="J44" s="67">
        <f>'Mecha Design'!$J229</f>
        <v>0</v>
      </c>
    </row>
    <row r="45" spans="1:10" ht="15" customHeight="1">
      <c r="A45" s="82">
        <f>'Mecha Design'!$A230</f>
        <v>1</v>
      </c>
      <c r="B45" t="str">
        <f>INDEX(Weapons!$B$3:$B$201,$A45)</f>
        <v>None- Select Weapon</v>
      </c>
      <c r="E45" s="67">
        <f>'Mecha Design'!$E230</f>
        <v>0</v>
      </c>
      <c r="F45" s="67">
        <f>'Mecha Design'!$F230</f>
        <v>0</v>
      </c>
      <c r="G45" s="67">
        <f>'Mecha Design'!$G230</f>
        <v>0</v>
      </c>
      <c r="H45" s="67">
        <f>'Mecha Design'!$H230</f>
        <v>0</v>
      </c>
      <c r="I45" s="67">
        <f>'Mecha Design'!$I230</f>
        <v>0</v>
      </c>
      <c r="J45" s="67">
        <f>'Mecha Design'!$J230</f>
        <v>0</v>
      </c>
    </row>
    <row r="46" spans="1:10" ht="15" customHeight="1">
      <c r="A46" s="82">
        <f>'Mecha Design'!$A231</f>
        <v>1</v>
      </c>
      <c r="B46" t="str">
        <f>INDEX(Weapons!$B$3:$B$201,$A46)</f>
        <v>None- Select Weapon</v>
      </c>
      <c r="E46" s="67">
        <f>'Mecha Design'!$E231</f>
        <v>0</v>
      </c>
      <c r="F46" s="67">
        <f>'Mecha Design'!$F231</f>
        <v>0</v>
      </c>
      <c r="G46" s="67">
        <f>'Mecha Design'!$G231</f>
        <v>0</v>
      </c>
      <c r="H46" s="67">
        <f>'Mecha Design'!$H231</f>
        <v>0</v>
      </c>
      <c r="I46" s="67">
        <f>'Mecha Design'!$I231</f>
        <v>0</v>
      </c>
      <c r="J46" s="67">
        <f>'Mecha Design'!$J231</f>
        <v>0</v>
      </c>
    </row>
    <row r="47" spans="1:10" ht="15" customHeight="1">
      <c r="A47" s="82">
        <f>'Mecha Design'!$A232</f>
        <v>1</v>
      </c>
      <c r="B47" t="str">
        <f>INDEX(Weapons!$B$3:$B$201,$A47)</f>
        <v>None- Select Weapon</v>
      </c>
      <c r="E47" s="67">
        <f>'Mecha Design'!$E232</f>
        <v>0</v>
      </c>
      <c r="F47" s="67">
        <f>'Mecha Design'!$F232</f>
        <v>0</v>
      </c>
      <c r="G47" s="67">
        <f>'Mecha Design'!$G232</f>
        <v>0</v>
      </c>
      <c r="H47" s="67">
        <f>'Mecha Design'!$H232</f>
        <v>0</v>
      </c>
      <c r="I47" s="67">
        <f>'Mecha Design'!$I232</f>
        <v>0</v>
      </c>
      <c r="J47" s="67">
        <f>'Mecha Design'!$J232</f>
        <v>0</v>
      </c>
    </row>
    <row r="48" spans="1:10" ht="15" customHeight="1">
      <c r="A48" s="82">
        <f>'Mecha Design'!$A233</f>
        <v>1</v>
      </c>
      <c r="B48" t="str">
        <f>INDEX(Weapons!$B$3:$B$201,$A48)</f>
        <v>None- Select Weapon</v>
      </c>
      <c r="E48" s="67">
        <f>'Mecha Design'!$E233</f>
        <v>0</v>
      </c>
      <c r="F48" s="67">
        <f>'Mecha Design'!$F233</f>
        <v>0</v>
      </c>
      <c r="G48" s="67">
        <f>'Mecha Design'!$G233</f>
        <v>0</v>
      </c>
      <c r="H48" s="67">
        <f>'Mecha Design'!$H233</f>
        <v>0</v>
      </c>
      <c r="I48" s="67">
        <f>'Mecha Design'!$I233</f>
        <v>0</v>
      </c>
      <c r="J48" s="67">
        <f>'Mecha Design'!$J233</f>
        <v>0</v>
      </c>
    </row>
    <row r="49" spans="1:6" ht="15" customHeight="1">
      <c r="A49">
        <f>'Mecha Design'!$A233</f>
        <v>1</v>
      </c>
      <c r="B49" t="str">
        <f>INDEX(Weapons!$B$3:$B$201,$A48)</f>
        <v>None- Select Weapon</v>
      </c>
      <c r="E49" s="92">
        <f>'Mecha Design'!$E233</f>
        <v>0</v>
      </c>
      <c r="F49" s="92">
        <f>'Mecha Design'!$F233</f>
        <v>0</v>
      </c>
    </row>
  </sheetData>
  <sheetProtection selectLockedCells="1" selectUnlockedCells="1"/>
  <mergeCells count="3">
    <mergeCell ref="A1:C1"/>
    <mergeCell ref="J3:L3"/>
    <mergeCell ref="D1:G1"/>
  </mergeCells>
  <printOptions/>
  <pageMargins left="0.75" right="0.75" top="1" bottom="1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2013-08-13T21:35:33Z</dcterms:created>
  <dcterms:modified xsi:type="dcterms:W3CDTF">2014-09-29T18:12:51Z</dcterms:modified>
  <cp:category/>
  <cp:version/>
  <cp:contentType/>
  <cp:contentStatus/>
</cp:coreProperties>
</file>